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540" firstSheet="14" activeTab="17"/>
  </bookViews>
  <sheets>
    <sheet name="Excalibur" sheetId="44" r:id="rId1"/>
    <sheet name="Rus brick" sheetId="42" r:id="rId2"/>
    <sheet name="Rus Roullette" sheetId="39" r:id="rId3"/>
    <sheet name="AWPC НЖ 1_2 вес" sheetId="38" r:id="rId4"/>
    <sheet name="WPC стр. под.на биц" sheetId="34" r:id="rId5"/>
    <sheet name="AWPC стр. под.на биц" sheetId="33" r:id="rId6"/>
    <sheet name="AWPC мн.слой тяга" sheetId="32" r:id="rId7"/>
    <sheet name="AWPC 1 слой тяга" sheetId="31" r:id="rId8"/>
    <sheet name="AWPC б_э тяга" sheetId="30" r:id="rId9"/>
    <sheet name="WPC мн.слой тяга" sheetId="29" r:id="rId10"/>
    <sheet name="WPC 1 слой тяга" sheetId="28" r:id="rId11"/>
    <sheet name="WPC б_э тяга" sheetId="27" r:id="rId12"/>
    <sheet name="AWPC мн.слой жим" sheetId="24" r:id="rId13"/>
    <sheet name="AWPC 1 слой жим" sheetId="23" r:id="rId14"/>
    <sheet name="AWPC б_э жим" sheetId="20" r:id="rId15"/>
    <sheet name="AWPC мн.слой ПЛ" sheetId="19" r:id="rId16"/>
    <sheet name="AWPC 1 слой ПЛ" sheetId="18" r:id="rId17"/>
    <sheet name="AWPC Класс. ПЛ" sheetId="17" r:id="rId18"/>
    <sheet name="AWPC б_э ПЛ" sheetId="16" r:id="rId19"/>
    <sheet name="WPC 1 слой жим" sheetId="12" r:id="rId20"/>
    <sheet name="WPC б_э жим" sheetId="11" r:id="rId21"/>
    <sheet name="WPC класс. ПЛ" sheetId="8" r:id="rId22"/>
  </sheets>
  <calcPr calcId="144525" refMode="R1C1"/>
</workbook>
</file>

<file path=xl/sharedStrings.xml><?xml version="1.0" encoding="utf-8"?>
<sst xmlns="http://schemas.openxmlformats.org/spreadsheetml/2006/main" count="1565" uniqueCount="414">
  <si>
    <t>Открытый кубок восточной европы WPC/AWPC/WAA -2022- "Кубок Сварога-9"
«Эскалибур»
Курск/Курская область 18 - 19 марта 2022 г.</t>
  </si>
  <si>
    <t>ФИО</t>
  </si>
  <si>
    <t>Возрастная группа
Дата рождения/Возраст</t>
  </si>
  <si>
    <t>Собственный 
вес</t>
  </si>
  <si>
    <t>Gloss</t>
  </si>
  <si>
    <t>Команда</t>
  </si>
  <si>
    <t>Город/Область</t>
  </si>
  <si>
    <t>Тяга</t>
  </si>
  <si>
    <t>Результат</t>
  </si>
  <si>
    <t>Очки</t>
  </si>
  <si>
    <t>Тренер</t>
  </si>
  <si>
    <t>Рек</t>
  </si>
  <si>
    <t>ВЕСОВАЯ КАТЕГОРИЯ   90</t>
  </si>
  <si>
    <t>1. Абрашов Даниил</t>
  </si>
  <si>
    <t>Юниоры (21.02.2007)/15</t>
  </si>
  <si>
    <t>81,70</t>
  </si>
  <si>
    <t xml:space="preserve">лично </t>
  </si>
  <si>
    <t xml:space="preserve">Брянск/Брянская область </t>
  </si>
  <si>
    <t>42,5</t>
  </si>
  <si>
    <t>52,5</t>
  </si>
  <si>
    <t>62,5</t>
  </si>
  <si>
    <t>72,5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</si>
  <si>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</si>
  <si>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</si>
  <si>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</si>
  <si>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</si>
  <si>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</si>
  <si>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</si>
  <si>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</si>
  <si>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</si>
  <si>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</si>
  <si>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</si>
  <si>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</si>
  <si>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</si>
  <si>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</si>
  <si>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Gloss </t>
  </si>
  <si>
    <t>Абрашов Даниил</t>
  </si>
  <si>
    <t>90</t>
  </si>
  <si>
    <t>82,5</t>
  </si>
  <si>
    <t>53,5177</t>
  </si>
  <si>
    <t>Открытый кубок восточной европы WPC/AWPC/WAA -2022- "Кубок Сварога-9"
«Русский кирпич»
Курск/Курская область 18 - 19 марта 2022 г.</t>
  </si>
  <si>
    <t>34,0</t>
  </si>
  <si>
    <t>44,0</t>
  </si>
  <si>
    <t>49,0</t>
  </si>
  <si>
    <t>54,0</t>
  </si>
  <si>
    <t>59,0</t>
  </si>
  <si>
    <t>38,2733</t>
  </si>
  <si>
    <t>Открытый кубок восточной европы WPC/AWPC/WAA -2022- "Кубок Сварога-9"
«Русская рулетка»
Курск/Курская область 18 - 19 марта 2022 г.</t>
  </si>
  <si>
    <t>ВЕСОВАЯ КАТЕГОРИЯ   125</t>
  </si>
  <si>
    <t>1. Виткевич Николай</t>
  </si>
  <si>
    <t>Открытая (27.09.1965)/56</t>
  </si>
  <si>
    <t>118,00</t>
  </si>
  <si>
    <t>53,0</t>
  </si>
  <si>
    <t>58,0</t>
  </si>
  <si>
    <t>63,0</t>
  </si>
  <si>
    <t>68,0</t>
  </si>
  <si>
    <t>Мастера 55 - 59 (27.09.1965)/56</t>
  </si>
  <si>
    <t xml:space="preserve">Открытая </t>
  </si>
  <si>
    <t>Виткевич Николай</t>
  </si>
  <si>
    <t>125</t>
  </si>
  <si>
    <t>37,6040</t>
  </si>
  <si>
    <t xml:space="preserve">Мастера </t>
  </si>
  <si>
    <t xml:space="preserve">Мастера 55 - 59 </t>
  </si>
  <si>
    <t>46,8546</t>
  </si>
  <si>
    <t>Открытый кубок восточной европы WPC/AWPC/WAA -2022- "Кубок Сварога-9"
AWPC Народный жим (1/2 вес)
Курск/Курская область 18 - 19 марта 2022 г.</t>
  </si>
  <si>
    <t>Народный жим</t>
  </si>
  <si>
    <t>Тоннаж</t>
  </si>
  <si>
    <t>Вес</t>
  </si>
  <si>
    <t>Повторы</t>
  </si>
  <si>
    <t>ВЕСОВАЯ КАТЕГОРИЯ   56</t>
  </si>
  <si>
    <t>1. Уголькова Ирина</t>
  </si>
  <si>
    <t>Открытая (29.04.1988)/33</t>
  </si>
  <si>
    <t>55,30</t>
  </si>
  <si>
    <t xml:space="preserve">. </t>
  </si>
  <si>
    <t xml:space="preserve">Белгород/Белгородская область </t>
  </si>
  <si>
    <t>30,0</t>
  </si>
  <si>
    <t>19,0</t>
  </si>
  <si>
    <t xml:space="preserve">Алиев Сергей </t>
  </si>
  <si>
    <t xml:space="preserve">Женщины </t>
  </si>
  <si>
    <t>Уголькова Ирина</t>
  </si>
  <si>
    <t>56</t>
  </si>
  <si>
    <t>570,0</t>
  </si>
  <si>
    <t>601,0650</t>
  </si>
  <si>
    <t>Открытый кубок восточной европы WPC/AWPC/WAA -2022- "Кубок Сварога-9"
WPC строгий подъем на бицепс
Курск/Курская область 18 - 19 марта 2022 г.</t>
  </si>
  <si>
    <t>Подъем на бицепс</t>
  </si>
  <si>
    <t>1. Алиев Сергей</t>
  </si>
  <si>
    <t>Открытая (14.12.1989)/32</t>
  </si>
  <si>
    <t>89,90</t>
  </si>
  <si>
    <t xml:space="preserve">Белгородская область </t>
  </si>
  <si>
    <t>50,0</t>
  </si>
  <si>
    <t>60,0</t>
  </si>
  <si>
    <t>65,0</t>
  </si>
  <si>
    <t>Алиев Сергей</t>
  </si>
  <si>
    <t>36,7350</t>
  </si>
  <si>
    <t>Открытый кубок восточной европы WPC/AWPC/WAA -2022- "Кубок Сварога-9"
AWPC строгий подъем на бицепс
Курск/Курская область 18 - 19 марта 2022 г.</t>
  </si>
  <si>
    <t>20,0</t>
  </si>
  <si>
    <t>25,0</t>
  </si>
  <si>
    <t>27,5</t>
  </si>
  <si>
    <t>ВЕСОВАЯ КАТЕГОРИЯ   75</t>
  </si>
  <si>
    <t>1. Бабич Александр</t>
  </si>
  <si>
    <t>Ветераны 40 - 44 (01.03.1979)/43</t>
  </si>
  <si>
    <t>68,00</t>
  </si>
  <si>
    <t>47,5</t>
  </si>
  <si>
    <t>26,3625</t>
  </si>
  <si>
    <t xml:space="preserve">Ветераны </t>
  </si>
  <si>
    <t>Бабич Александр</t>
  </si>
  <si>
    <t xml:space="preserve">Ветераны 40 - 44 </t>
  </si>
  <si>
    <t>75</t>
  </si>
  <si>
    <t>38,3429</t>
  </si>
  <si>
    <t>Открытый кубок восточной европы WPC/AWPC/WAA -2022- "Кубок Сварога-9"
AWPC тяга становая в многослойной экипировке
Курск/Курская область 18 - 19 марта 2022 г.</t>
  </si>
  <si>
    <t>Становая тяга</t>
  </si>
  <si>
    <t>ВЕСОВАЯ КАТЕГОРИЯ   82.5</t>
  </si>
  <si>
    <t>1. Умеренкова Юлия</t>
  </si>
  <si>
    <t>Открытая (09.12.1980)/41</t>
  </si>
  <si>
    <t>76,00</t>
  </si>
  <si>
    <t xml:space="preserve">Носорог </t>
  </si>
  <si>
    <t xml:space="preserve">Курск/Курская область </t>
  </si>
  <si>
    <t>180,0</t>
  </si>
  <si>
    <t>195,0</t>
  </si>
  <si>
    <t>205,0</t>
  </si>
  <si>
    <t xml:space="preserve">Умеренков  И.Ю. </t>
  </si>
  <si>
    <t>Ветераны 40 - 44 (09.12.1980)/41</t>
  </si>
  <si>
    <t>Умеренкова Юлия</t>
  </si>
  <si>
    <t>82.5</t>
  </si>
  <si>
    <t>169,9142</t>
  </si>
  <si>
    <t>171,6134</t>
  </si>
  <si>
    <t>Открытый кубок восточной европы WPC/AWPC/WAA -2022- "Кубок Сварога-9"
AWPC тяга становая в однослойной экипировке
Курск/Курская область 18 - 19 марта 2022 г.</t>
  </si>
  <si>
    <t>ВЕСОВАЯ КАТЕГОРИЯ   52</t>
  </si>
  <si>
    <t>1. Енина Елена</t>
  </si>
  <si>
    <t>Открытая (10.05.1989)/32</t>
  </si>
  <si>
    <t>51,70</t>
  </si>
  <si>
    <t>142,5</t>
  </si>
  <si>
    <t>150,0</t>
  </si>
  <si>
    <t>160,0</t>
  </si>
  <si>
    <t xml:space="preserve">Умеренков Игорь </t>
  </si>
  <si>
    <t>Енина Елена</t>
  </si>
  <si>
    <t>52</t>
  </si>
  <si>
    <t>166,8900</t>
  </si>
  <si>
    <t>Открытый кубок восточной европы WPC/AWPC/WAA -2022- "Кубок Сварога-9"
AWPC тяга становая без экипировки
Курск/Курская область 18 - 19 марта 2022 г.</t>
  </si>
  <si>
    <t>1. Сеттарова Эльнара</t>
  </si>
  <si>
    <t>Открытая (09.02.1998)/24</t>
  </si>
  <si>
    <t>51,40</t>
  </si>
  <si>
    <t>105,0</t>
  </si>
  <si>
    <t>110,0</t>
  </si>
  <si>
    <t>115,0</t>
  </si>
  <si>
    <t xml:space="preserve">Короткин Илья </t>
  </si>
  <si>
    <t>1. Волкова Екатерина</t>
  </si>
  <si>
    <t>Открытая (10.10.1990)/31</t>
  </si>
  <si>
    <t>75,90</t>
  </si>
  <si>
    <t xml:space="preserve">СПАРТА </t>
  </si>
  <si>
    <t xml:space="preserve">Железногорск/Курская область </t>
  </si>
  <si>
    <t>120,0</t>
  </si>
  <si>
    <t>130,0</t>
  </si>
  <si>
    <t>140,0</t>
  </si>
  <si>
    <t xml:space="preserve">Анцышкин Сергей </t>
  </si>
  <si>
    <t>1. Анцышкина Татьяна</t>
  </si>
  <si>
    <t>Открытая (22.11.1988)/33</t>
  </si>
  <si>
    <t>87,50</t>
  </si>
  <si>
    <t>125,0</t>
  </si>
  <si>
    <t>135,0</t>
  </si>
  <si>
    <t>145,0</t>
  </si>
  <si>
    <t>1. Чаплыгин Владимир</t>
  </si>
  <si>
    <t>Юноши 18 - 19 (31.07.2002)/19</t>
  </si>
  <si>
    <t>70,60</t>
  </si>
  <si>
    <t>170,0</t>
  </si>
  <si>
    <t>177,5</t>
  </si>
  <si>
    <t>1. Чаплыгин Павел</t>
  </si>
  <si>
    <t>Открытая (10.07.1987)/34</t>
  </si>
  <si>
    <t>73,70</t>
  </si>
  <si>
    <t>185,0</t>
  </si>
  <si>
    <t>1. Сидорчук Александр</t>
  </si>
  <si>
    <t>Ветераны 55 - 59 (02.02.1967)/55</t>
  </si>
  <si>
    <t>80,40</t>
  </si>
  <si>
    <t>200,0</t>
  </si>
  <si>
    <t>210,0</t>
  </si>
  <si>
    <t>215,0</t>
  </si>
  <si>
    <t>Сеттарова Эльнара</t>
  </si>
  <si>
    <t>122,9580</t>
  </si>
  <si>
    <t>Волкова Екатерина</t>
  </si>
  <si>
    <t>116,1300</t>
  </si>
  <si>
    <t>Анцышкина Татьяна</t>
  </si>
  <si>
    <t>110,1130</t>
  </si>
  <si>
    <t xml:space="preserve">Юноши </t>
  </si>
  <si>
    <t>Чаплыгин Владимир</t>
  </si>
  <si>
    <t xml:space="preserve">Юноши 18 - 19 </t>
  </si>
  <si>
    <t>122,6125</t>
  </si>
  <si>
    <t>Чаплыгин Павел</t>
  </si>
  <si>
    <t>125,5590</t>
  </si>
  <si>
    <t>Сидорчук Александр</t>
  </si>
  <si>
    <t xml:space="preserve">Ветераны 55 - 59 </t>
  </si>
  <si>
    <t>168,6660</t>
  </si>
  <si>
    <t>Открытый кубок восточной европы WPC/AWPC/WAA -2022- "Кубок Сварога-9"
WPC тяга становая в многослойной экипировке
Курск/Курская область 18 - 19 марта 2022 г.</t>
  </si>
  <si>
    <t>ВЕСОВАЯ КАТЕГОРИЯ   100</t>
  </si>
  <si>
    <t>1. Порядин Валерий</t>
  </si>
  <si>
    <t>Открытая (20.05.1966)/55</t>
  </si>
  <si>
    <t>95,00</t>
  </si>
  <si>
    <t>205,5</t>
  </si>
  <si>
    <t>Ветераны 55 - 59 (20.05.1966)/55</t>
  </si>
  <si>
    <t>Порядин Валерий</t>
  </si>
  <si>
    <t>100</t>
  </si>
  <si>
    <t>121,9545</t>
  </si>
  <si>
    <t>149,3943</t>
  </si>
  <si>
    <t>Открытый кубок восточной европы WPC/AWPC/WAA -2022- "Кубок Сварога-9"
WPC тяга становая в однослойной экипировке
Курск/Курская область 18 - 19 марта 2022 г.</t>
  </si>
  <si>
    <t>142,1067</t>
  </si>
  <si>
    <t>Открытый кубок восточной европы WPC/AWPC/WAA -2022- "Кубок Сварога-9"
WPC тяга становая без экипировки
Курск/Курская область 18 - 19 марта 2022 г.</t>
  </si>
  <si>
    <t>Юноши 13 - 15 (21.02.2007)/15</t>
  </si>
  <si>
    <t>1. Мотайло Дмитрий</t>
  </si>
  <si>
    <t>Открытая (06.06.1985)/36</t>
  </si>
  <si>
    <t>99,60</t>
  </si>
  <si>
    <t>260,0</t>
  </si>
  <si>
    <t>270,0</t>
  </si>
  <si>
    <t>280,0</t>
  </si>
  <si>
    <t>240,0</t>
  </si>
  <si>
    <t>255,0</t>
  </si>
  <si>
    <t>Ветераны 55 - 59 (27.09.1965)/56</t>
  </si>
  <si>
    <t xml:space="preserve">Юноши 13 - 15 </t>
  </si>
  <si>
    <t>103,7920</t>
  </si>
  <si>
    <t>Мотайло Дмитрий</t>
  </si>
  <si>
    <t>157,2210</t>
  </si>
  <si>
    <t>141,0150</t>
  </si>
  <si>
    <t>175,7047</t>
  </si>
  <si>
    <t>Открытый кубок восточной европы WPC/AWPC/WAA -2022- "Кубок Сварога-9"
AWPC жим лежа в многослойной экипировке
Курск/Курская область 18 - 19 марта 2022 г.</t>
  </si>
  <si>
    <t>Жим лёжа</t>
  </si>
  <si>
    <t>95,3177</t>
  </si>
  <si>
    <t>96,2709</t>
  </si>
  <si>
    <t>Открытый кубок восточной европы WPC/AWPC/WAA -2022- "Кубок Сварога-9"
AWPC жим лежа в однослойной экипировке
Курск/Курская область 18 - 19 марта 2022 г.</t>
  </si>
  <si>
    <t>67,5</t>
  </si>
  <si>
    <t>70,0</t>
  </si>
  <si>
    <t>77,8820</t>
  </si>
  <si>
    <t>Открытый кубок восточной европы WPC/AWPC/WAA -2022- "Кубок Сварога-9"
AWPC жим лежа без экипировки
Курск/Курская область 18 - 19 марта 2022 г.</t>
  </si>
  <si>
    <t>1. Гнеева Наталья</t>
  </si>
  <si>
    <t>Ветераны 40 - 44 (07.08.1978)/43</t>
  </si>
  <si>
    <t>51,00</t>
  </si>
  <si>
    <t xml:space="preserve">Енина Елена </t>
  </si>
  <si>
    <t>1. Поваляев Дмитрий</t>
  </si>
  <si>
    <t>Открытая (04.07.1996)/25</t>
  </si>
  <si>
    <t>98,80</t>
  </si>
  <si>
    <t xml:space="preserve">Рыльск/Курская область </t>
  </si>
  <si>
    <t>197,5</t>
  </si>
  <si>
    <t>1. Куцев Валентин</t>
  </si>
  <si>
    <t>Ветераны 65 - 69 (21.06.1955)/66</t>
  </si>
  <si>
    <t>100,00</t>
  </si>
  <si>
    <t>100,0</t>
  </si>
  <si>
    <t>1. Зайцев Сергей</t>
  </si>
  <si>
    <t>Ветераны 40 - 44 (29.08.1980)/41</t>
  </si>
  <si>
    <t>119,90</t>
  </si>
  <si>
    <t xml:space="preserve">Орёл/Орловская область </t>
  </si>
  <si>
    <t>155,0</t>
  </si>
  <si>
    <t>162,5</t>
  </si>
  <si>
    <t>167,5</t>
  </si>
  <si>
    <t>Поваляев Дмитрий</t>
  </si>
  <si>
    <t>108,0955</t>
  </si>
  <si>
    <t>Зайцев Сергей</t>
  </si>
  <si>
    <t>90,4411</t>
  </si>
  <si>
    <t>Куцев Валентин</t>
  </si>
  <si>
    <t xml:space="preserve">Ветераны 65 - 69 </t>
  </si>
  <si>
    <t>87,8344</t>
  </si>
  <si>
    <t>Гнеева Наталья</t>
  </si>
  <si>
    <t>53,4509</t>
  </si>
  <si>
    <t>Открытый кубок восточной европы WPC/AWPC/WAA -2022- "Кубок Сварога-9"
AWPC пауэрлифтинг в многослойной экипировке
Курск/Курская область 18 - 19 марта 2022 г.</t>
  </si>
  <si>
    <t>Приседание</t>
  </si>
  <si>
    <t>Сумма</t>
  </si>
  <si>
    <t>220,0</t>
  </si>
  <si>
    <t xml:space="preserve">Сумма </t>
  </si>
  <si>
    <t>530,0</t>
  </si>
  <si>
    <t>439,2905</t>
  </si>
  <si>
    <t>443,6834</t>
  </si>
  <si>
    <t>Открытый кубок восточной европы WPC/AWPC/WAA -2022- "Кубок Сварога-9"
AWPC пауэрлифтинг в однослойной экипировке
Курск/Курская область 18 - 19 марта 2022 г.</t>
  </si>
  <si>
    <t>147,5</t>
  </si>
  <si>
    <t xml:space="preserve">Енина </t>
  </si>
  <si>
    <t>1. Гостева Валентина</t>
  </si>
  <si>
    <t>Ветераны 65 - 69 (07.08.1955)/66</t>
  </si>
  <si>
    <t>51,10</t>
  </si>
  <si>
    <t>75,0</t>
  </si>
  <si>
    <t>362,5</t>
  </si>
  <si>
    <t>403,3175</t>
  </si>
  <si>
    <t>Гостева Валентина</t>
  </si>
  <si>
    <t>265,0</t>
  </si>
  <si>
    <t>449,6661</t>
  </si>
  <si>
    <t>Открытый кубок восточной европы WPC/AWPC/WAA -2022- "Кубок Сварога-9"
AWPC классичесический пауэрлифтинг
Курск/Курская область 18 - 19 марта 2022 г.</t>
  </si>
  <si>
    <t>1. Макарова Диана</t>
  </si>
  <si>
    <t>Девушки 16 - 17 (23.07.2005)/16</t>
  </si>
  <si>
    <t>72,00</t>
  </si>
  <si>
    <t>107,5</t>
  </si>
  <si>
    <t>45,0</t>
  </si>
  <si>
    <t>57,5</t>
  </si>
  <si>
    <t>1. Гольцова Полина</t>
  </si>
  <si>
    <t>Открытая (08.07.1982)/39</t>
  </si>
  <si>
    <t>81,20</t>
  </si>
  <si>
    <t>117,5</t>
  </si>
  <si>
    <t>77,5</t>
  </si>
  <si>
    <t>ВЕСОВАЯ КАТЕГОРИЯ   67.5</t>
  </si>
  <si>
    <t xml:space="preserve">1. Мяснянкин </t>
  </si>
  <si>
    <t>Юноши 16 - 17 (31.01.2006)/16</t>
  </si>
  <si>
    <t>61,80</t>
  </si>
  <si>
    <t xml:space="preserve">Курск </t>
  </si>
  <si>
    <t>90,0</t>
  </si>
  <si>
    <t>95,0</t>
  </si>
  <si>
    <t xml:space="preserve">Прыгов Дмитрий </t>
  </si>
  <si>
    <t>1. Савин Максим</t>
  </si>
  <si>
    <t>Юноши 13 - 15 (27.12.2007)/14</t>
  </si>
  <si>
    <t>82,90</t>
  </si>
  <si>
    <t>85,0</t>
  </si>
  <si>
    <t>92,5</t>
  </si>
  <si>
    <t>102,5</t>
  </si>
  <si>
    <t>1. Шабаев Максим</t>
  </si>
  <si>
    <t>Открытая (04.08.1993)/28</t>
  </si>
  <si>
    <t>92,90</t>
  </si>
  <si>
    <t>175,0</t>
  </si>
  <si>
    <t>202,5</t>
  </si>
  <si>
    <t xml:space="preserve">Девушки </t>
  </si>
  <si>
    <t>Макарова Диана</t>
  </si>
  <si>
    <t xml:space="preserve">Юноши 16 - 17 </t>
  </si>
  <si>
    <t>282,5</t>
  </si>
  <si>
    <t>242,8229</t>
  </si>
  <si>
    <t>Гольцова Полина</t>
  </si>
  <si>
    <t>337,5</t>
  </si>
  <si>
    <t>268,0763</t>
  </si>
  <si>
    <t xml:space="preserve">Мяснянкин </t>
  </si>
  <si>
    <t>67.5</t>
  </si>
  <si>
    <t>275,0</t>
  </si>
  <si>
    <t>222,6675</t>
  </si>
  <si>
    <t>Савин Максим</t>
  </si>
  <si>
    <t>167,0760</t>
  </si>
  <si>
    <t>Шабаев Максим</t>
  </si>
  <si>
    <t>510,0</t>
  </si>
  <si>
    <t>306,8160</t>
  </si>
  <si>
    <t>Открытый кубок восточной европы WPC/AWPC/WAA -2022- "Кубок Сварога-9"
AWPC пауэрлифтинг без экипировки
Курск/Курская область 18 - 19 марта 2022 г.</t>
  </si>
  <si>
    <t>ВЕСОВАЯ КАТЕГОРИЯ   48</t>
  </si>
  <si>
    <t>1. Чернова Наталья</t>
  </si>
  <si>
    <t>Открытая (13.08.1987)/34</t>
  </si>
  <si>
    <t>46,40</t>
  </si>
  <si>
    <t>32,5</t>
  </si>
  <si>
    <t>35,0</t>
  </si>
  <si>
    <t>37,5</t>
  </si>
  <si>
    <t>1. Васюнина Виктория</t>
  </si>
  <si>
    <t>Девушки 13 - 15 (20.07.2006)/15</t>
  </si>
  <si>
    <t>50,90</t>
  </si>
  <si>
    <t>40,0</t>
  </si>
  <si>
    <t>80,0</t>
  </si>
  <si>
    <t xml:space="preserve">Анцишкин Сергей </t>
  </si>
  <si>
    <t>1. Головенькина Юлия</t>
  </si>
  <si>
    <t>Юниорки 20 - 23 (21.02.2001)/21</t>
  </si>
  <si>
    <t>50,50</t>
  </si>
  <si>
    <t>22,5</t>
  </si>
  <si>
    <t>55,0</t>
  </si>
  <si>
    <t>1. Непочатых Екатерина</t>
  </si>
  <si>
    <t>Девушки 16 - 17 (23.05.2005)/16</t>
  </si>
  <si>
    <t>52,90</t>
  </si>
  <si>
    <t>ВЕСОВАЯ КАТЕГОРИЯ   60</t>
  </si>
  <si>
    <t>1. Амелина Любовь</t>
  </si>
  <si>
    <t>Открытая (27.09.1988)/33</t>
  </si>
  <si>
    <t>59,90</t>
  </si>
  <si>
    <t>1. Крамская Вероника</t>
  </si>
  <si>
    <t>Девушки 13 - 15 (18.12.2006)/15</t>
  </si>
  <si>
    <t>64,40</t>
  </si>
  <si>
    <t>1. Маркин Святослав</t>
  </si>
  <si>
    <t>Юноши 13 - 15 (08.08.2007)/14</t>
  </si>
  <si>
    <t>67,20</t>
  </si>
  <si>
    <t xml:space="preserve">Курчатов/Курская область </t>
  </si>
  <si>
    <t>Непочатых Екатерина</t>
  </si>
  <si>
    <t>229,4460</t>
  </si>
  <si>
    <t>Крамская Вероника</t>
  </si>
  <si>
    <t>212,5</t>
  </si>
  <si>
    <t>198,3581</t>
  </si>
  <si>
    <t>Васюнина Виктория</t>
  </si>
  <si>
    <t>197,1200</t>
  </si>
  <si>
    <t xml:space="preserve">Юниорки </t>
  </si>
  <si>
    <t>Головенькина Юлия</t>
  </si>
  <si>
    <t xml:space="preserve">Юниоры 20 - 23 </t>
  </si>
  <si>
    <t>141,6750</t>
  </si>
  <si>
    <t>Чернова Наталья</t>
  </si>
  <si>
    <t>48</t>
  </si>
  <si>
    <t>217,7460</t>
  </si>
  <si>
    <t>Амелина Любовь</t>
  </si>
  <si>
    <t>60</t>
  </si>
  <si>
    <t>207,5</t>
  </si>
  <si>
    <t>205,1968</t>
  </si>
  <si>
    <t>Маркин Святослав</t>
  </si>
  <si>
    <t>290,0</t>
  </si>
  <si>
    <t>217,8625</t>
  </si>
  <si>
    <t>Открытый кубок восточной европы WPC/AWPC/WAA -2022- "Кубок Сварога-9"
WPC жим лежа в однослойной экипировке
Курск/Курская область 18 - 19 марта 2022 г.</t>
  </si>
  <si>
    <t>ВЕСОВАЯ КАТЕГОРИЯ   140</t>
  </si>
  <si>
    <t>1. Есаулков Евгений</t>
  </si>
  <si>
    <t>Открытая (06.08.1989)/32</t>
  </si>
  <si>
    <t>132,60</t>
  </si>
  <si>
    <t>230,0</t>
  </si>
  <si>
    <t>Есаулков Евгений</t>
  </si>
  <si>
    <t>140</t>
  </si>
  <si>
    <t>118,3072</t>
  </si>
  <si>
    <t>Открытый кубок восточной европы WPC/AWPC/WAA -2022- "Кубок Сварога-9"
WPC жим лежа без экипировки
Курск/Курская область 18 - 19 марта 2022 г.</t>
  </si>
  <si>
    <t>1. Бугаев Артем</t>
  </si>
  <si>
    <t>Юниоры 20 - 23 (26.01.2000)/22</t>
  </si>
  <si>
    <t>81,40</t>
  </si>
  <si>
    <t>165,0</t>
  </si>
  <si>
    <t>1. Иноземцев Николай</t>
  </si>
  <si>
    <t>Открытая (08.04.1992)/29</t>
  </si>
  <si>
    <t>Бугаев Артем</t>
  </si>
  <si>
    <t>97,5375</t>
  </si>
  <si>
    <t>Иноземцев Николай</t>
  </si>
  <si>
    <t>85,2345</t>
  </si>
  <si>
    <t>Открытый кубок восточной европы WPC/AWPC/WAA -2022- "Кубок Сварога-9"
WPC классичесический пауэрлифтинг
Курск/Курская область 18 - 19 марта 2022 г.</t>
  </si>
  <si>
    <t>1. Беглов Юрий</t>
  </si>
  <si>
    <t>Ветераны 55 - 59 (06.05.1965)/56</t>
  </si>
  <si>
    <t>80,60</t>
  </si>
  <si>
    <t xml:space="preserve">Воронеж/Воронежская область </t>
  </si>
  <si>
    <t>190,0</t>
  </si>
  <si>
    <t>122,5</t>
  </si>
  <si>
    <t>127,5</t>
  </si>
  <si>
    <t>132,5</t>
  </si>
  <si>
    <t>250,0</t>
  </si>
  <si>
    <t>Беглов Юрий</t>
  </si>
  <si>
    <t>557,5</t>
  </si>
  <si>
    <t>454,6452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</si>
</sst>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</numFmts>
  <fonts count="2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4" borderId="1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0" fontId="26" fillId="19" borderId="20" applyNumberFormat="0" applyAlignment="0" applyProtection="0">
      <alignment vertical="center"/>
    </xf>
    <xf numFmtId="0" fontId="10" fillId="3" borderId="13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45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M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24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13</v>
      </c>
      <c r="B6" s="17" t="s">
        <v>14</v>
      </c>
      <c r="C6" s="17" t="s">
        <v>15</v>
      </c>
      <c r="D6" s="17" t="str">
        <f>"0,6487"</f>
        <v>0,6487</v>
      </c>
      <c r="E6" s="17" t="s">
        <v>16</v>
      </c>
      <c r="F6" s="17" t="s">
        <v>17</v>
      </c>
      <c r="G6" s="19" t="s">
        <v>18</v>
      </c>
      <c r="H6" s="19" t="s">
        <v>19</v>
      </c>
      <c r="I6" s="19" t="s">
        <v>20</v>
      </c>
      <c r="J6" s="19" t="s">
        <v>21</v>
      </c>
      <c r="K6" s="31" t="str">
        <f>"82,5"</f>
        <v>82,5</v>
      </c>
      <c r="L6" s="32" t="str">
        <f>"53,5177"</f>
        <v>53,5177</v>
      </c>
      <c r="M6" s="17" t="s">
        <v>22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29</v>
      </c>
      <c r="B17" s="22"/>
    </row>
    <row r="18" ht="15" spans="1:2">
      <c r="A18" s="23"/>
      <c r="B18" s="24" t="s">
        <v>30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36</v>
      </c>
      <c r="B20" s="3" t="s">
        <v>30</v>
      </c>
      <c r="C20" s="3" t="s">
        <v>37</v>
      </c>
      <c r="D20" s="3" t="s">
        <v>38</v>
      </c>
      <c r="E20" s="5" t="s">
        <v>39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191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110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192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3" t="s">
        <v>193</v>
      </c>
      <c r="B6" s="33" t="s">
        <v>194</v>
      </c>
      <c r="C6" s="33" t="s">
        <v>195</v>
      </c>
      <c r="D6" s="33" t="str">
        <f>"0,5949"</f>
        <v>0,5949</v>
      </c>
      <c r="E6" s="33" t="s">
        <v>16</v>
      </c>
      <c r="F6" s="33" t="s">
        <v>74</v>
      </c>
      <c r="G6" s="35" t="s">
        <v>173</v>
      </c>
      <c r="H6" s="34" t="s">
        <v>173</v>
      </c>
      <c r="I6" s="34" t="s">
        <v>196</v>
      </c>
      <c r="J6" s="35"/>
      <c r="K6" s="39" t="str">
        <f>"205,0"</f>
        <v>205,0</v>
      </c>
      <c r="L6" s="40" t="str">
        <f>"121,9545"</f>
        <v>121,9545</v>
      </c>
      <c r="M6" s="33" t="s">
        <v>22</v>
      </c>
    </row>
    <row r="7" spans="1:13">
      <c r="A7" s="36" t="s">
        <v>193</v>
      </c>
      <c r="B7" s="36" t="s">
        <v>197</v>
      </c>
      <c r="C7" s="36" t="s">
        <v>195</v>
      </c>
      <c r="D7" s="36" t="str">
        <f>"0,5949"</f>
        <v>0,5949</v>
      </c>
      <c r="E7" s="36" t="s">
        <v>16</v>
      </c>
      <c r="F7" s="36" t="s">
        <v>74</v>
      </c>
      <c r="G7" s="38" t="s">
        <v>173</v>
      </c>
      <c r="H7" s="37" t="s">
        <v>173</v>
      </c>
      <c r="I7" s="37" t="s">
        <v>196</v>
      </c>
      <c r="J7" s="38"/>
      <c r="K7" s="41" t="str">
        <f>"205,0"</f>
        <v>205,0</v>
      </c>
      <c r="L7" s="42" t="str">
        <f>"149,3943"</f>
        <v>149,3943</v>
      </c>
      <c r="M7" s="36" t="s">
        <v>22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29</v>
      </c>
      <c r="B18" s="22"/>
    </row>
    <row r="19" ht="15" spans="1:2">
      <c r="A19" s="23"/>
      <c r="B19" s="24" t="s">
        <v>57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34</v>
      </c>
      <c r="E20" s="25" t="s">
        <v>35</v>
      </c>
    </row>
    <row r="21" spans="1:5">
      <c r="A21" s="26" t="s">
        <v>198</v>
      </c>
      <c r="B21" s="3" t="s">
        <v>57</v>
      </c>
      <c r="C21" s="3" t="s">
        <v>199</v>
      </c>
      <c r="D21" s="3" t="s">
        <v>119</v>
      </c>
      <c r="E21" s="5" t="s">
        <v>200</v>
      </c>
    </row>
    <row r="23" ht="15" spans="1:2">
      <c r="A23" s="23"/>
      <c r="B23" s="24" t="s">
        <v>104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34</v>
      </c>
      <c r="E24" s="25" t="s">
        <v>35</v>
      </c>
    </row>
    <row r="25" spans="1:5">
      <c r="A25" s="26" t="s">
        <v>198</v>
      </c>
      <c r="B25" s="3" t="s">
        <v>189</v>
      </c>
      <c r="C25" s="3" t="s">
        <v>199</v>
      </c>
      <c r="D25" s="3" t="s">
        <v>119</v>
      </c>
      <c r="E25" s="5" t="s">
        <v>201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7" width="5.55555555555556" style="4" customWidth="1"/>
    <col min="8" max="9" width="2.11111111111111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202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110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192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193</v>
      </c>
      <c r="B6" s="17" t="s">
        <v>197</v>
      </c>
      <c r="C6" s="17" t="s">
        <v>195</v>
      </c>
      <c r="D6" s="17" t="str">
        <f>"0,5949"</f>
        <v>0,5949</v>
      </c>
      <c r="E6" s="17" t="s">
        <v>16</v>
      </c>
      <c r="F6" s="17" t="s">
        <v>74</v>
      </c>
      <c r="G6" s="19" t="s">
        <v>118</v>
      </c>
      <c r="H6" s="18"/>
      <c r="I6" s="18"/>
      <c r="J6" s="18"/>
      <c r="K6" s="31" t="str">
        <f>"195,0"</f>
        <v>195,0</v>
      </c>
      <c r="L6" s="32" t="str">
        <f>"142,1067"</f>
        <v>142,1067</v>
      </c>
      <c r="M6" s="17" t="s">
        <v>22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29</v>
      </c>
      <c r="B17" s="22"/>
    </row>
    <row r="18" ht="15" spans="1:2">
      <c r="A18" s="23"/>
      <c r="B18" s="24" t="s">
        <v>104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198</v>
      </c>
      <c r="B20" s="3" t="s">
        <v>189</v>
      </c>
      <c r="C20" s="3" t="s">
        <v>199</v>
      </c>
      <c r="D20" s="3" t="s">
        <v>118</v>
      </c>
      <c r="E20" s="5" t="s">
        <v>203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204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110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13</v>
      </c>
      <c r="B6" s="17" t="s">
        <v>205</v>
      </c>
      <c r="C6" s="17" t="s">
        <v>15</v>
      </c>
      <c r="D6" s="17" t="str">
        <f>"0,6487"</f>
        <v>0,6487</v>
      </c>
      <c r="E6" s="17" t="s">
        <v>16</v>
      </c>
      <c r="F6" s="17" t="s">
        <v>17</v>
      </c>
      <c r="G6" s="19" t="s">
        <v>153</v>
      </c>
      <c r="H6" s="19" t="s">
        <v>132</v>
      </c>
      <c r="I6" s="19" t="s">
        <v>133</v>
      </c>
      <c r="J6" s="18"/>
      <c r="K6" s="31" t="str">
        <f>"160,0"</f>
        <v>160,0</v>
      </c>
      <c r="L6" s="32" t="str">
        <f>"103,7920"</f>
        <v>103,7920</v>
      </c>
      <c r="M6" s="17" t="s">
        <v>22</v>
      </c>
    </row>
    <row r="8" ht="15.75" spans="1:10">
      <c r="A8" s="43" t="s">
        <v>192</v>
      </c>
      <c r="B8" s="44"/>
      <c r="C8" s="44"/>
      <c r="D8" s="44"/>
      <c r="E8" s="44"/>
      <c r="F8" s="44"/>
      <c r="G8" s="44"/>
      <c r="H8" s="44"/>
      <c r="I8" s="44"/>
      <c r="J8" s="44"/>
    </row>
    <row r="9" spans="1:13">
      <c r="A9" s="17" t="s">
        <v>206</v>
      </c>
      <c r="B9" s="17" t="s">
        <v>207</v>
      </c>
      <c r="C9" s="17" t="s">
        <v>208</v>
      </c>
      <c r="D9" s="17" t="str">
        <f>"0,5823"</f>
        <v>0,5823</v>
      </c>
      <c r="E9" s="17" t="s">
        <v>88</v>
      </c>
      <c r="F9" s="17" t="s">
        <v>74</v>
      </c>
      <c r="G9" s="19" t="s">
        <v>209</v>
      </c>
      <c r="H9" s="19" t="s">
        <v>210</v>
      </c>
      <c r="I9" s="18" t="s">
        <v>211</v>
      </c>
      <c r="J9" s="18"/>
      <c r="K9" s="31" t="str">
        <f>"270,0"</f>
        <v>270,0</v>
      </c>
      <c r="L9" s="32" t="str">
        <f>"157,2210"</f>
        <v>157,2210</v>
      </c>
      <c r="M9" s="17" t="s">
        <v>22</v>
      </c>
    </row>
    <row r="11" ht="15.75" spans="1:10">
      <c r="A11" s="43" t="s">
        <v>48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3">
      <c r="A12" s="33" t="s">
        <v>49</v>
      </c>
      <c r="B12" s="33" t="s">
        <v>50</v>
      </c>
      <c r="C12" s="33" t="s">
        <v>51</v>
      </c>
      <c r="D12" s="33" t="str">
        <f>"0,5530"</f>
        <v>0,5530</v>
      </c>
      <c r="E12" s="33" t="s">
        <v>16</v>
      </c>
      <c r="F12" s="33" t="s">
        <v>17</v>
      </c>
      <c r="G12" s="34" t="s">
        <v>212</v>
      </c>
      <c r="H12" s="34" t="s">
        <v>213</v>
      </c>
      <c r="I12" s="35"/>
      <c r="J12" s="35"/>
      <c r="K12" s="39" t="str">
        <f>"255,0"</f>
        <v>255,0</v>
      </c>
      <c r="L12" s="40" t="str">
        <f>"141,0150"</f>
        <v>141,0150</v>
      </c>
      <c r="M12" s="33" t="s">
        <v>22</v>
      </c>
    </row>
    <row r="13" spans="1:13">
      <c r="A13" s="36" t="s">
        <v>49</v>
      </c>
      <c r="B13" s="36" t="s">
        <v>214</v>
      </c>
      <c r="C13" s="36" t="s">
        <v>51</v>
      </c>
      <c r="D13" s="36" t="str">
        <f>"0,5530"</f>
        <v>0,5530</v>
      </c>
      <c r="E13" s="36" t="s">
        <v>16</v>
      </c>
      <c r="F13" s="36" t="s">
        <v>17</v>
      </c>
      <c r="G13" s="37" t="s">
        <v>212</v>
      </c>
      <c r="H13" s="37" t="s">
        <v>213</v>
      </c>
      <c r="I13" s="38"/>
      <c r="J13" s="38"/>
      <c r="K13" s="41" t="str">
        <f>"255,0"</f>
        <v>255,0</v>
      </c>
      <c r="L13" s="42" t="str">
        <f>"175,7047"</f>
        <v>175,7047</v>
      </c>
      <c r="M13" s="36" t="s">
        <v>22</v>
      </c>
    </row>
    <row r="15" ht="15.75" spans="5:5">
      <c r="E15" s="20" t="s">
        <v>23</v>
      </c>
    </row>
    <row r="16" ht="15.75" spans="5:5">
      <c r="E16" s="20" t="s">
        <v>24</v>
      </c>
    </row>
    <row r="17" ht="15.75" spans="5:5">
      <c r="E17" s="20" t="s">
        <v>25</v>
      </c>
    </row>
    <row r="18" ht="15.75" spans="5:5">
      <c r="E18" s="20" t="s">
        <v>26</v>
      </c>
    </row>
    <row r="19" ht="15.75" spans="5:5">
      <c r="E19" s="20" t="s">
        <v>26</v>
      </c>
    </row>
    <row r="20" ht="15.75" spans="5:5">
      <c r="E20" s="20" t="s">
        <v>27</v>
      </c>
    </row>
    <row r="21" ht="15.75" spans="5:5">
      <c r="E21" s="20"/>
    </row>
    <row r="23" ht="18.75" spans="1:2">
      <c r="A23" s="21" t="s">
        <v>28</v>
      </c>
      <c r="B23" s="21"/>
    </row>
    <row r="24" ht="15.75" spans="1:2">
      <c r="A24" s="22" t="s">
        <v>29</v>
      </c>
      <c r="B24" s="22"/>
    </row>
    <row r="25" ht="15" spans="1:2">
      <c r="A25" s="23"/>
      <c r="B25" s="24" t="s">
        <v>182</v>
      </c>
    </row>
    <row r="26" ht="14.25" spans="1:5">
      <c r="A26" s="25" t="s">
        <v>31</v>
      </c>
      <c r="B26" s="25" t="s">
        <v>32</v>
      </c>
      <c r="C26" s="25" t="s">
        <v>33</v>
      </c>
      <c r="D26" s="25" t="s">
        <v>34</v>
      </c>
      <c r="E26" s="25" t="s">
        <v>35</v>
      </c>
    </row>
    <row r="27" spans="1:5">
      <c r="A27" s="26" t="s">
        <v>36</v>
      </c>
      <c r="B27" s="3" t="s">
        <v>215</v>
      </c>
      <c r="C27" s="3" t="s">
        <v>123</v>
      </c>
      <c r="D27" s="3" t="s">
        <v>133</v>
      </c>
      <c r="E27" s="5" t="s">
        <v>216</v>
      </c>
    </row>
    <row r="29" ht="15" spans="1:2">
      <c r="A29" s="23"/>
      <c r="B29" s="24" t="s">
        <v>57</v>
      </c>
    </row>
    <row r="30" ht="14.25" spans="1:5">
      <c r="A30" s="25" t="s">
        <v>31</v>
      </c>
      <c r="B30" s="25" t="s">
        <v>32</v>
      </c>
      <c r="C30" s="25" t="s">
        <v>33</v>
      </c>
      <c r="D30" s="25" t="s">
        <v>34</v>
      </c>
      <c r="E30" s="25" t="s">
        <v>35</v>
      </c>
    </row>
    <row r="31" spans="1:5">
      <c r="A31" s="26" t="s">
        <v>217</v>
      </c>
      <c r="B31" s="3" t="s">
        <v>57</v>
      </c>
      <c r="C31" s="3" t="s">
        <v>199</v>
      </c>
      <c r="D31" s="3" t="s">
        <v>210</v>
      </c>
      <c r="E31" s="5" t="s">
        <v>218</v>
      </c>
    </row>
    <row r="32" spans="1:5">
      <c r="A32" s="26" t="s">
        <v>58</v>
      </c>
      <c r="B32" s="3" t="s">
        <v>57</v>
      </c>
      <c r="C32" s="3" t="s">
        <v>59</v>
      </c>
      <c r="D32" s="3" t="s">
        <v>213</v>
      </c>
      <c r="E32" s="5" t="s">
        <v>219</v>
      </c>
    </row>
    <row r="34" ht="15" spans="1:2">
      <c r="A34" s="23"/>
      <c r="B34" s="24" t="s">
        <v>104</v>
      </c>
    </row>
    <row r="35" ht="14.25" spans="1:5">
      <c r="A35" s="25" t="s">
        <v>31</v>
      </c>
      <c r="B35" s="25" t="s">
        <v>32</v>
      </c>
      <c r="C35" s="25" t="s">
        <v>33</v>
      </c>
      <c r="D35" s="25" t="s">
        <v>34</v>
      </c>
      <c r="E35" s="25" t="s">
        <v>35</v>
      </c>
    </row>
    <row r="36" spans="1:5">
      <c r="A36" s="26" t="s">
        <v>58</v>
      </c>
      <c r="B36" s="3" t="s">
        <v>189</v>
      </c>
      <c r="C36" s="3" t="s">
        <v>59</v>
      </c>
      <c r="D36" s="3" t="s">
        <v>213</v>
      </c>
      <c r="E36" s="5" t="s">
        <v>220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6" width="21.7777777777778" style="3" customWidth="1"/>
    <col min="7" max="8" width="5.55555555555556" style="4" customWidth="1"/>
    <col min="9" max="9" width="2.11111111111111" style="4" customWidth="1"/>
    <col min="10" max="10" width="4.55555555555556" style="4" customWidth="1"/>
    <col min="11" max="11" width="7.66666666666667" style="5" customWidth="1"/>
    <col min="12" max="12" width="7.55555555555556" style="1" customWidth="1"/>
    <col min="13" max="13" width="16.2222222222222" style="3" customWidth="1"/>
    <col min="14" max="16384" width="9.11111111111111" style="4"/>
  </cols>
  <sheetData>
    <row r="1" s="1" customFormat="1" ht="28.95" customHeight="1" spans="1:13">
      <c r="A1" s="6" t="s">
        <v>221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222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3" t="s">
        <v>112</v>
      </c>
      <c r="B6" s="33" t="s">
        <v>113</v>
      </c>
      <c r="C6" s="33" t="s">
        <v>114</v>
      </c>
      <c r="D6" s="33" t="str">
        <f>"0,8288"</f>
        <v>0,8288</v>
      </c>
      <c r="E6" s="33" t="s">
        <v>115</v>
      </c>
      <c r="F6" s="33" t="s">
        <v>116</v>
      </c>
      <c r="G6" s="35" t="s">
        <v>144</v>
      </c>
      <c r="H6" s="34" t="s">
        <v>144</v>
      </c>
      <c r="I6" s="35"/>
      <c r="J6" s="35"/>
      <c r="K6" s="39" t="str">
        <f>"115,0"</f>
        <v>115,0</v>
      </c>
      <c r="L6" s="40" t="str">
        <f>"95,3177"</f>
        <v>95,3177</v>
      </c>
      <c r="M6" s="33" t="s">
        <v>120</v>
      </c>
    </row>
    <row r="7" spans="1:13">
      <c r="A7" s="36" t="s">
        <v>112</v>
      </c>
      <c r="B7" s="36" t="s">
        <v>121</v>
      </c>
      <c r="C7" s="36" t="s">
        <v>114</v>
      </c>
      <c r="D7" s="36" t="str">
        <f>"0,8288"</f>
        <v>0,8288</v>
      </c>
      <c r="E7" s="36" t="s">
        <v>115</v>
      </c>
      <c r="F7" s="36" t="s">
        <v>116</v>
      </c>
      <c r="G7" s="38" t="s">
        <v>144</v>
      </c>
      <c r="H7" s="37" t="s">
        <v>144</v>
      </c>
      <c r="I7" s="38"/>
      <c r="J7" s="38"/>
      <c r="K7" s="41" t="str">
        <f>"115,0"</f>
        <v>115,0</v>
      </c>
      <c r="L7" s="42" t="str">
        <f>"96,2709"</f>
        <v>96,2709</v>
      </c>
      <c r="M7" s="36" t="s">
        <v>120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78</v>
      </c>
      <c r="B18" s="22"/>
    </row>
    <row r="19" ht="15" spans="1:2">
      <c r="A19" s="23"/>
      <c r="B19" s="24" t="s">
        <v>57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34</v>
      </c>
      <c r="E20" s="25" t="s">
        <v>35</v>
      </c>
    </row>
    <row r="21" spans="1:5">
      <c r="A21" s="26" t="s">
        <v>122</v>
      </c>
      <c r="B21" s="3" t="s">
        <v>57</v>
      </c>
      <c r="C21" s="3" t="s">
        <v>123</v>
      </c>
      <c r="D21" s="3" t="s">
        <v>144</v>
      </c>
      <c r="E21" s="5" t="s">
        <v>223</v>
      </c>
    </row>
    <row r="23" ht="15" spans="1:2">
      <c r="A23" s="23"/>
      <c r="B23" s="24" t="s">
        <v>104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34</v>
      </c>
      <c r="E24" s="25" t="s">
        <v>35</v>
      </c>
    </row>
    <row r="25" spans="1:5">
      <c r="A25" s="26" t="s">
        <v>122</v>
      </c>
      <c r="B25" s="3" t="s">
        <v>106</v>
      </c>
      <c r="C25" s="3" t="s">
        <v>123</v>
      </c>
      <c r="D25" s="3" t="s">
        <v>144</v>
      </c>
      <c r="E25" s="5" t="s">
        <v>224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6" width="21.7777777777778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16.4444444444444" style="3" customWidth="1"/>
    <col min="14" max="16384" width="9.11111111111111" style="4"/>
  </cols>
  <sheetData>
    <row r="1" s="1" customFormat="1" ht="28.95" customHeight="1" spans="1:13">
      <c r="A1" s="6" t="s">
        <v>225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222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127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128</v>
      </c>
      <c r="B6" s="17" t="s">
        <v>129</v>
      </c>
      <c r="C6" s="17" t="s">
        <v>130</v>
      </c>
      <c r="D6" s="17" t="str">
        <f>"1,1126"</f>
        <v>1,1126</v>
      </c>
      <c r="E6" s="17" t="s">
        <v>115</v>
      </c>
      <c r="F6" s="17" t="s">
        <v>116</v>
      </c>
      <c r="G6" s="19" t="s">
        <v>20</v>
      </c>
      <c r="H6" s="19" t="s">
        <v>226</v>
      </c>
      <c r="I6" s="19" t="s">
        <v>227</v>
      </c>
      <c r="J6" s="18"/>
      <c r="K6" s="31" t="str">
        <f>"70,0"</f>
        <v>70,0</v>
      </c>
      <c r="L6" s="32" t="str">
        <f>"77,8820"</f>
        <v>77,8820</v>
      </c>
      <c r="M6" s="17" t="s">
        <v>134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78</v>
      </c>
      <c r="B17" s="22"/>
    </row>
    <row r="18" ht="15" spans="1:2">
      <c r="A18" s="23"/>
      <c r="B18" s="24" t="s">
        <v>57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135</v>
      </c>
      <c r="B20" s="3" t="s">
        <v>57</v>
      </c>
      <c r="C20" s="3" t="s">
        <v>136</v>
      </c>
      <c r="D20" s="3" t="s">
        <v>227</v>
      </c>
      <c r="E20" s="5" t="s">
        <v>228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23.6666666666667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12.6666666666667" style="3" customWidth="1"/>
    <col min="14" max="16384" width="9.11111111111111" style="4"/>
  </cols>
  <sheetData>
    <row r="1" s="1" customFormat="1" ht="28.95" customHeight="1" spans="1:13">
      <c r="A1" s="6" t="s">
        <v>229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222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127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230</v>
      </c>
      <c r="B6" s="17" t="s">
        <v>231</v>
      </c>
      <c r="C6" s="17" t="s">
        <v>232</v>
      </c>
      <c r="D6" s="17" t="str">
        <f>"0,9875"</f>
        <v>0,9875</v>
      </c>
      <c r="E6" s="17" t="s">
        <v>16</v>
      </c>
      <c r="F6" s="17" t="s">
        <v>116</v>
      </c>
      <c r="G6" s="18" t="s">
        <v>89</v>
      </c>
      <c r="H6" s="18" t="s">
        <v>19</v>
      </c>
      <c r="I6" s="19" t="s">
        <v>19</v>
      </c>
      <c r="J6" s="18"/>
      <c r="K6" s="31" t="str">
        <f>"52,5"</f>
        <v>52,5</v>
      </c>
      <c r="L6" s="32" t="str">
        <f>"53,4509"</f>
        <v>53,4509</v>
      </c>
      <c r="M6" s="17" t="s">
        <v>233</v>
      </c>
    </row>
    <row r="8" ht="15.75" spans="1:10">
      <c r="A8" s="43" t="s">
        <v>192</v>
      </c>
      <c r="B8" s="44"/>
      <c r="C8" s="44"/>
      <c r="D8" s="44"/>
      <c r="E8" s="44"/>
      <c r="F8" s="44"/>
      <c r="G8" s="44"/>
      <c r="H8" s="44"/>
      <c r="I8" s="44"/>
      <c r="J8" s="44"/>
    </row>
    <row r="9" spans="1:13">
      <c r="A9" s="33" t="s">
        <v>234</v>
      </c>
      <c r="B9" s="33" t="s">
        <v>235</v>
      </c>
      <c r="C9" s="33" t="s">
        <v>236</v>
      </c>
      <c r="D9" s="33" t="str">
        <f>"0,5843"</f>
        <v>0,5843</v>
      </c>
      <c r="E9" s="33" t="s">
        <v>16</v>
      </c>
      <c r="F9" s="33" t="s">
        <v>237</v>
      </c>
      <c r="G9" s="34" t="s">
        <v>164</v>
      </c>
      <c r="H9" s="34" t="s">
        <v>169</v>
      </c>
      <c r="I9" s="35" t="s">
        <v>238</v>
      </c>
      <c r="J9" s="35"/>
      <c r="K9" s="39" t="str">
        <f>"185,0"</f>
        <v>185,0</v>
      </c>
      <c r="L9" s="40" t="str">
        <f>"108,0955"</f>
        <v>108,0955</v>
      </c>
      <c r="M9" s="33" t="s">
        <v>22</v>
      </c>
    </row>
    <row r="10" spans="1:13">
      <c r="A10" s="36" t="s">
        <v>239</v>
      </c>
      <c r="B10" s="36" t="s">
        <v>240</v>
      </c>
      <c r="C10" s="36" t="s">
        <v>241</v>
      </c>
      <c r="D10" s="36" t="str">
        <f>"0,5813"</f>
        <v>0,5813</v>
      </c>
      <c r="E10" s="36" t="s">
        <v>16</v>
      </c>
      <c r="F10" s="36" t="s">
        <v>237</v>
      </c>
      <c r="G10" s="37" t="s">
        <v>242</v>
      </c>
      <c r="H10" s="38"/>
      <c r="I10" s="38"/>
      <c r="J10" s="38"/>
      <c r="K10" s="41" t="str">
        <f>"100,0"</f>
        <v>100,0</v>
      </c>
      <c r="L10" s="42" t="str">
        <f>"87,8344"</f>
        <v>87,8344</v>
      </c>
      <c r="M10" s="36" t="s">
        <v>22</v>
      </c>
    </row>
    <row r="12" ht="15.75" spans="1:10">
      <c r="A12" s="43" t="s">
        <v>48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3">
      <c r="A13" s="17" t="s">
        <v>243</v>
      </c>
      <c r="B13" s="17" t="s">
        <v>244</v>
      </c>
      <c r="C13" s="17" t="s">
        <v>245</v>
      </c>
      <c r="D13" s="17" t="str">
        <f>"0,5511"</f>
        <v>0,5511</v>
      </c>
      <c r="E13" s="17" t="s">
        <v>16</v>
      </c>
      <c r="F13" s="17" t="s">
        <v>246</v>
      </c>
      <c r="G13" s="19" t="s">
        <v>247</v>
      </c>
      <c r="H13" s="19" t="s">
        <v>248</v>
      </c>
      <c r="I13" s="18" t="s">
        <v>249</v>
      </c>
      <c r="J13" s="18"/>
      <c r="K13" s="31" t="str">
        <f>"162,5"</f>
        <v>162,5</v>
      </c>
      <c r="L13" s="32" t="str">
        <f>"90,4411"</f>
        <v>90,4411</v>
      </c>
      <c r="M13" s="17" t="s">
        <v>22</v>
      </c>
    </row>
    <row r="15" ht="15.75" spans="5:5">
      <c r="E15" s="20" t="s">
        <v>23</v>
      </c>
    </row>
    <row r="16" ht="15.75" spans="5:5">
      <c r="E16" s="20" t="s">
        <v>24</v>
      </c>
    </row>
    <row r="17" ht="15.75" spans="5:5">
      <c r="E17" s="20" t="s">
        <v>25</v>
      </c>
    </row>
    <row r="18" ht="15.75" spans="5:5">
      <c r="E18" s="20" t="s">
        <v>26</v>
      </c>
    </row>
    <row r="19" ht="15.75" spans="5:5">
      <c r="E19" s="20" t="s">
        <v>26</v>
      </c>
    </row>
    <row r="20" ht="15.75" spans="5:5">
      <c r="E20" s="20" t="s">
        <v>27</v>
      </c>
    </row>
    <row r="21" ht="15.75" spans="5:5">
      <c r="E21" s="20"/>
    </row>
    <row r="23" ht="18.75" spans="1:2">
      <c r="A23" s="21" t="s">
        <v>28</v>
      </c>
      <c r="B23" s="21"/>
    </row>
    <row r="24" ht="15.75" spans="1:2">
      <c r="A24" s="22" t="s">
        <v>29</v>
      </c>
      <c r="B24" s="22"/>
    </row>
    <row r="25" ht="15" spans="1:2">
      <c r="A25" s="23"/>
      <c r="B25" s="24" t="s">
        <v>57</v>
      </c>
    </row>
    <row r="26" ht="14.25" spans="1:5">
      <c r="A26" s="25" t="s">
        <v>31</v>
      </c>
      <c r="B26" s="25" t="s">
        <v>32</v>
      </c>
      <c r="C26" s="25" t="s">
        <v>33</v>
      </c>
      <c r="D26" s="25" t="s">
        <v>34</v>
      </c>
      <c r="E26" s="25" t="s">
        <v>35</v>
      </c>
    </row>
    <row r="27" spans="1:5">
      <c r="A27" s="26" t="s">
        <v>250</v>
      </c>
      <c r="B27" s="3" t="s">
        <v>57</v>
      </c>
      <c r="C27" s="3" t="s">
        <v>199</v>
      </c>
      <c r="D27" s="3" t="s">
        <v>169</v>
      </c>
      <c r="E27" s="5" t="s">
        <v>251</v>
      </c>
    </row>
    <row r="29" ht="15" spans="1:2">
      <c r="A29" s="23"/>
      <c r="B29" s="24" t="s">
        <v>104</v>
      </c>
    </row>
    <row r="30" ht="14.25" spans="1:5">
      <c r="A30" s="25" t="s">
        <v>31</v>
      </c>
      <c r="B30" s="25" t="s">
        <v>32</v>
      </c>
      <c r="C30" s="25" t="s">
        <v>33</v>
      </c>
      <c r="D30" s="25" t="s">
        <v>34</v>
      </c>
      <c r="E30" s="25" t="s">
        <v>35</v>
      </c>
    </row>
    <row r="31" spans="1:5">
      <c r="A31" s="26" t="s">
        <v>252</v>
      </c>
      <c r="B31" s="3" t="s">
        <v>106</v>
      </c>
      <c r="C31" s="3" t="s">
        <v>59</v>
      </c>
      <c r="D31" s="3" t="s">
        <v>248</v>
      </c>
      <c r="E31" s="5" t="s">
        <v>253</v>
      </c>
    </row>
    <row r="32" spans="1:5">
      <c r="A32" s="26" t="s">
        <v>254</v>
      </c>
      <c r="B32" s="3" t="s">
        <v>255</v>
      </c>
      <c r="C32" s="3" t="s">
        <v>199</v>
      </c>
      <c r="D32" s="3" t="s">
        <v>242</v>
      </c>
      <c r="E32" s="5" t="s">
        <v>256</v>
      </c>
    </row>
    <row r="33" spans="1:5">
      <c r="A33" s="26" t="s">
        <v>257</v>
      </c>
      <c r="B33" s="3" t="s">
        <v>106</v>
      </c>
      <c r="C33" s="3" t="s">
        <v>136</v>
      </c>
      <c r="D33" s="3" t="s">
        <v>19</v>
      </c>
      <c r="E33" s="5" t="s">
        <v>258</v>
      </c>
    </row>
  </sheetData>
  <mergeCells count="14">
    <mergeCell ref="G3:J3"/>
    <mergeCell ref="A5:J5"/>
    <mergeCell ref="A8:J8"/>
    <mergeCell ref="A12:J1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8.22222222222222" style="3" customWidth="1"/>
    <col min="5" max="6" width="21.7777777777778" style="3" customWidth="1"/>
    <col min="7" max="9" width="5.55555555555556" style="4" customWidth="1"/>
    <col min="10" max="10" width="4.55555555555556" style="4" customWidth="1"/>
    <col min="11" max="12" width="5.55555555555556" style="4" customWidth="1"/>
    <col min="13" max="13" width="2.11111111111111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16.2222222222222" style="3" customWidth="1"/>
    <col min="22" max="16384" width="9.11111111111111" style="4"/>
  </cols>
  <sheetData>
    <row r="1" s="1" customFormat="1" ht="28.95" customHeight="1" spans="1:21">
      <c r="A1" s="6" t="s">
        <v>259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7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260</v>
      </c>
      <c r="H3" s="12"/>
      <c r="I3" s="12"/>
      <c r="J3" s="12"/>
      <c r="K3" s="12" t="s">
        <v>222</v>
      </c>
      <c r="L3" s="12"/>
      <c r="M3" s="12"/>
      <c r="N3" s="12"/>
      <c r="O3" s="12" t="s">
        <v>110</v>
      </c>
      <c r="P3" s="12"/>
      <c r="Q3" s="12"/>
      <c r="R3" s="12"/>
      <c r="S3" s="12" t="s">
        <v>261</v>
      </c>
      <c r="T3" s="12" t="s">
        <v>9</v>
      </c>
      <c r="U3" s="29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0"/>
    </row>
    <row r="5" ht="15.75" spans="1:18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33" t="s">
        <v>112</v>
      </c>
      <c r="B6" s="33" t="s">
        <v>113</v>
      </c>
      <c r="C6" s="33" t="s">
        <v>114</v>
      </c>
      <c r="D6" s="33" t="str">
        <f>"0,8288"</f>
        <v>0,8288</v>
      </c>
      <c r="E6" s="33" t="s">
        <v>115</v>
      </c>
      <c r="F6" s="33" t="s">
        <v>116</v>
      </c>
      <c r="G6" s="34" t="s">
        <v>118</v>
      </c>
      <c r="H6" s="34" t="s">
        <v>174</v>
      </c>
      <c r="I6" s="35" t="s">
        <v>262</v>
      </c>
      <c r="J6" s="35"/>
      <c r="K6" s="35" t="s">
        <v>144</v>
      </c>
      <c r="L6" s="34" t="s">
        <v>144</v>
      </c>
      <c r="M6" s="35"/>
      <c r="N6" s="35"/>
      <c r="O6" s="34" t="s">
        <v>117</v>
      </c>
      <c r="P6" s="34" t="s">
        <v>118</v>
      </c>
      <c r="Q6" s="34" t="s">
        <v>119</v>
      </c>
      <c r="R6" s="35"/>
      <c r="S6" s="39" t="str">
        <f>"530,0"</f>
        <v>530,0</v>
      </c>
      <c r="T6" s="40" t="str">
        <f>"439,2905"</f>
        <v>439,2905</v>
      </c>
      <c r="U6" s="33" t="s">
        <v>120</v>
      </c>
    </row>
    <row r="7" spans="1:21">
      <c r="A7" s="36" t="s">
        <v>112</v>
      </c>
      <c r="B7" s="36" t="s">
        <v>121</v>
      </c>
      <c r="C7" s="36" t="s">
        <v>114</v>
      </c>
      <c r="D7" s="36" t="str">
        <f>"0,8288"</f>
        <v>0,8288</v>
      </c>
      <c r="E7" s="36" t="s">
        <v>115</v>
      </c>
      <c r="F7" s="36" t="s">
        <v>116</v>
      </c>
      <c r="G7" s="37" t="s">
        <v>118</v>
      </c>
      <c r="H7" s="37" t="s">
        <v>174</v>
      </c>
      <c r="I7" s="38" t="s">
        <v>262</v>
      </c>
      <c r="J7" s="38"/>
      <c r="K7" s="38" t="s">
        <v>144</v>
      </c>
      <c r="L7" s="37" t="s">
        <v>144</v>
      </c>
      <c r="M7" s="38"/>
      <c r="N7" s="38"/>
      <c r="O7" s="37" t="s">
        <v>117</v>
      </c>
      <c r="P7" s="37" t="s">
        <v>118</v>
      </c>
      <c r="Q7" s="37" t="s">
        <v>119</v>
      </c>
      <c r="R7" s="38"/>
      <c r="S7" s="41" t="str">
        <f>"530,0"</f>
        <v>530,0</v>
      </c>
      <c r="T7" s="42" t="str">
        <f>"443,6834"</f>
        <v>443,6834</v>
      </c>
      <c r="U7" s="36" t="s">
        <v>120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78</v>
      </c>
      <c r="B18" s="22"/>
    </row>
    <row r="19" ht="15" spans="1:2">
      <c r="A19" s="23"/>
      <c r="B19" s="24" t="s">
        <v>57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263</v>
      </c>
      <c r="E20" s="25" t="s">
        <v>35</v>
      </c>
    </row>
    <row r="21" spans="1:5">
      <c r="A21" s="26" t="s">
        <v>122</v>
      </c>
      <c r="B21" s="3" t="s">
        <v>57</v>
      </c>
      <c r="C21" s="3" t="s">
        <v>123</v>
      </c>
      <c r="D21" s="3" t="s">
        <v>264</v>
      </c>
      <c r="E21" s="5" t="s">
        <v>265</v>
      </c>
    </row>
    <row r="23" ht="15" spans="1:2">
      <c r="A23" s="23"/>
      <c r="B23" s="24" t="s">
        <v>104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263</v>
      </c>
      <c r="E24" s="25" t="s">
        <v>35</v>
      </c>
    </row>
    <row r="25" spans="1:5">
      <c r="A25" s="26" t="s">
        <v>122</v>
      </c>
      <c r="B25" s="3" t="s">
        <v>106</v>
      </c>
      <c r="C25" s="3" t="s">
        <v>123</v>
      </c>
      <c r="D25" s="3" t="s">
        <v>264</v>
      </c>
      <c r="E25" s="5" t="s">
        <v>266</v>
      </c>
    </row>
  </sheetData>
  <mergeCells count="14">
    <mergeCell ref="G3:J3"/>
    <mergeCell ref="K3:N3"/>
    <mergeCell ref="O3:R3"/>
    <mergeCell ref="A5:R5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8.22222222222222" style="3" customWidth="1"/>
    <col min="5" max="6" width="21.7777777777778" style="3" customWidth="1"/>
    <col min="7" max="9" width="5.55555555555556" style="4" customWidth="1"/>
    <col min="10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267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7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260</v>
      </c>
      <c r="H3" s="12"/>
      <c r="I3" s="12"/>
      <c r="J3" s="12"/>
      <c r="K3" s="12" t="s">
        <v>222</v>
      </c>
      <c r="L3" s="12"/>
      <c r="M3" s="12"/>
      <c r="N3" s="12"/>
      <c r="O3" s="12" t="s">
        <v>110</v>
      </c>
      <c r="P3" s="12"/>
      <c r="Q3" s="12"/>
      <c r="R3" s="12"/>
      <c r="S3" s="12" t="s">
        <v>261</v>
      </c>
      <c r="T3" s="12" t="s">
        <v>9</v>
      </c>
      <c r="U3" s="29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0"/>
    </row>
    <row r="5" ht="15.75" spans="1:18">
      <c r="A5" s="15" t="s">
        <v>127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33" t="s">
        <v>128</v>
      </c>
      <c r="B6" s="33" t="s">
        <v>129</v>
      </c>
      <c r="C6" s="33" t="s">
        <v>130</v>
      </c>
      <c r="D6" s="33" t="str">
        <f>"1,1126"</f>
        <v>1,1126</v>
      </c>
      <c r="E6" s="33" t="s">
        <v>115</v>
      </c>
      <c r="F6" s="33" t="s">
        <v>116</v>
      </c>
      <c r="G6" s="35" t="s">
        <v>131</v>
      </c>
      <c r="H6" s="34" t="s">
        <v>131</v>
      </c>
      <c r="I6" s="35" t="s">
        <v>268</v>
      </c>
      <c r="J6" s="35"/>
      <c r="K6" s="34" t="s">
        <v>20</v>
      </c>
      <c r="L6" s="34" t="s">
        <v>226</v>
      </c>
      <c r="M6" s="34" t="s">
        <v>227</v>
      </c>
      <c r="N6" s="35"/>
      <c r="O6" s="34" t="s">
        <v>131</v>
      </c>
      <c r="P6" s="34" t="s">
        <v>132</v>
      </c>
      <c r="Q6" s="35" t="s">
        <v>133</v>
      </c>
      <c r="R6" s="35"/>
      <c r="S6" s="39" t="str">
        <f>"362,5"</f>
        <v>362,5</v>
      </c>
      <c r="T6" s="40" t="str">
        <f>"403,3175"</f>
        <v>403,3175</v>
      </c>
      <c r="U6" s="33" t="s">
        <v>269</v>
      </c>
    </row>
    <row r="7" spans="1:21">
      <c r="A7" s="36" t="s">
        <v>270</v>
      </c>
      <c r="B7" s="36" t="s">
        <v>271</v>
      </c>
      <c r="C7" s="36" t="s">
        <v>272</v>
      </c>
      <c r="D7" s="36" t="str">
        <f>"1,1230"</f>
        <v>1,1230</v>
      </c>
      <c r="E7" s="36" t="s">
        <v>115</v>
      </c>
      <c r="F7" s="36" t="s">
        <v>116</v>
      </c>
      <c r="G7" s="38" t="s">
        <v>227</v>
      </c>
      <c r="H7" s="38" t="s">
        <v>227</v>
      </c>
      <c r="I7" s="37" t="s">
        <v>273</v>
      </c>
      <c r="J7" s="38"/>
      <c r="K7" s="37" t="s">
        <v>91</v>
      </c>
      <c r="L7" s="38" t="s">
        <v>227</v>
      </c>
      <c r="M7" s="37" t="s">
        <v>227</v>
      </c>
      <c r="N7" s="38"/>
      <c r="O7" s="37" t="s">
        <v>142</v>
      </c>
      <c r="P7" s="37" t="s">
        <v>144</v>
      </c>
      <c r="Q7" s="37" t="s">
        <v>151</v>
      </c>
      <c r="R7" s="38"/>
      <c r="S7" s="41" t="str">
        <f>"265,0"</f>
        <v>265,0</v>
      </c>
      <c r="T7" s="42" t="str">
        <f>"449,6661"</f>
        <v>449,6661</v>
      </c>
      <c r="U7" s="36" t="s">
        <v>22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78</v>
      </c>
      <c r="B18" s="22"/>
    </row>
    <row r="19" ht="15" spans="1:2">
      <c r="A19" s="23"/>
      <c r="B19" s="24" t="s">
        <v>57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263</v>
      </c>
      <c r="E20" s="25" t="s">
        <v>35</v>
      </c>
    </row>
    <row r="21" spans="1:5">
      <c r="A21" s="26" t="s">
        <v>135</v>
      </c>
      <c r="B21" s="3" t="s">
        <v>57</v>
      </c>
      <c r="C21" s="3" t="s">
        <v>136</v>
      </c>
      <c r="D21" s="3" t="s">
        <v>274</v>
      </c>
      <c r="E21" s="5" t="s">
        <v>275</v>
      </c>
    </row>
    <row r="23" ht="15" spans="1:2">
      <c r="A23" s="23"/>
      <c r="B23" s="24" t="s">
        <v>104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263</v>
      </c>
      <c r="E24" s="25" t="s">
        <v>35</v>
      </c>
    </row>
    <row r="25" spans="1:5">
      <c r="A25" s="26" t="s">
        <v>276</v>
      </c>
      <c r="B25" s="3" t="s">
        <v>255</v>
      </c>
      <c r="C25" s="3" t="s">
        <v>136</v>
      </c>
      <c r="D25" s="3" t="s">
        <v>277</v>
      </c>
      <c r="E25" s="5" t="s">
        <v>278</v>
      </c>
    </row>
  </sheetData>
  <mergeCells count="14">
    <mergeCell ref="G3:J3"/>
    <mergeCell ref="K3:N3"/>
    <mergeCell ref="O3:R3"/>
    <mergeCell ref="A5:R5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23.6666666666667" style="3" customWidth="1"/>
    <col min="7" max="9" width="5.55555555555556" style="4" customWidth="1"/>
    <col min="10" max="10" width="4.55555555555556" style="4" customWidth="1"/>
    <col min="11" max="13" width="5.55555555555556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15.8888888888889" style="3" customWidth="1"/>
    <col min="22" max="16384" width="9.11111111111111" style="4"/>
  </cols>
  <sheetData>
    <row r="1" s="1" customFormat="1" ht="28.95" customHeight="1" spans="1:21">
      <c r="A1" s="6" t="s">
        <v>279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7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260</v>
      </c>
      <c r="H3" s="12"/>
      <c r="I3" s="12"/>
      <c r="J3" s="12"/>
      <c r="K3" s="12" t="s">
        <v>222</v>
      </c>
      <c r="L3" s="12"/>
      <c r="M3" s="12"/>
      <c r="N3" s="12"/>
      <c r="O3" s="12" t="s">
        <v>110</v>
      </c>
      <c r="P3" s="12"/>
      <c r="Q3" s="12"/>
      <c r="R3" s="12"/>
      <c r="S3" s="12" t="s">
        <v>261</v>
      </c>
      <c r="T3" s="12" t="s">
        <v>9</v>
      </c>
      <c r="U3" s="29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0"/>
    </row>
    <row r="5" ht="15.75" spans="1:18">
      <c r="A5" s="15" t="s">
        <v>98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17" t="s">
        <v>280</v>
      </c>
      <c r="B6" s="17" t="s">
        <v>281</v>
      </c>
      <c r="C6" s="17" t="s">
        <v>282</v>
      </c>
      <c r="D6" s="17" t="str">
        <f>"0,8595"</f>
        <v>0,8595</v>
      </c>
      <c r="E6" s="17" t="s">
        <v>73</v>
      </c>
      <c r="F6" s="17" t="s">
        <v>237</v>
      </c>
      <c r="G6" s="18" t="s">
        <v>242</v>
      </c>
      <c r="H6" s="19" t="s">
        <v>283</v>
      </c>
      <c r="I6" s="19" t="s">
        <v>144</v>
      </c>
      <c r="J6" s="18"/>
      <c r="K6" s="19" t="s">
        <v>284</v>
      </c>
      <c r="L6" s="19" t="s">
        <v>19</v>
      </c>
      <c r="M6" s="18" t="s">
        <v>285</v>
      </c>
      <c r="N6" s="18"/>
      <c r="O6" s="19" t="s">
        <v>142</v>
      </c>
      <c r="P6" s="19" t="s">
        <v>144</v>
      </c>
      <c r="Q6" s="18" t="s">
        <v>151</v>
      </c>
      <c r="R6" s="18"/>
      <c r="S6" s="31" t="str">
        <f>"282,5"</f>
        <v>282,5</v>
      </c>
      <c r="T6" s="32" t="str">
        <f>"242,8229"</f>
        <v>242,8229</v>
      </c>
      <c r="U6" s="17" t="s">
        <v>22</v>
      </c>
    </row>
    <row r="8" ht="15.75" spans="1:18">
      <c r="A8" s="43" t="s">
        <v>111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1">
      <c r="A9" s="17" t="s">
        <v>286</v>
      </c>
      <c r="B9" s="17" t="s">
        <v>287</v>
      </c>
      <c r="C9" s="17" t="s">
        <v>288</v>
      </c>
      <c r="D9" s="17" t="str">
        <f>"0,7943"</f>
        <v>0,7943</v>
      </c>
      <c r="E9" s="17" t="s">
        <v>16</v>
      </c>
      <c r="F9" s="17" t="s">
        <v>246</v>
      </c>
      <c r="G9" s="19" t="s">
        <v>143</v>
      </c>
      <c r="H9" s="19" t="s">
        <v>289</v>
      </c>
      <c r="I9" s="18" t="s">
        <v>158</v>
      </c>
      <c r="J9" s="18"/>
      <c r="K9" s="19" t="s">
        <v>227</v>
      </c>
      <c r="L9" s="19" t="s">
        <v>273</v>
      </c>
      <c r="M9" s="18" t="s">
        <v>290</v>
      </c>
      <c r="N9" s="18"/>
      <c r="O9" s="19" t="s">
        <v>152</v>
      </c>
      <c r="P9" s="19" t="s">
        <v>153</v>
      </c>
      <c r="Q9" s="19" t="s">
        <v>160</v>
      </c>
      <c r="R9" s="18"/>
      <c r="S9" s="31" t="str">
        <f>"337,5"</f>
        <v>337,5</v>
      </c>
      <c r="T9" s="32" t="str">
        <f>"268,0763"</f>
        <v>268,0763</v>
      </c>
      <c r="U9" s="17" t="s">
        <v>22</v>
      </c>
    </row>
    <row r="11" ht="15.75" spans="1:18">
      <c r="A11" s="43" t="s">
        <v>291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21">
      <c r="A12" s="17" t="s">
        <v>292</v>
      </c>
      <c r="B12" s="17" t="s">
        <v>293</v>
      </c>
      <c r="C12" s="17" t="s">
        <v>294</v>
      </c>
      <c r="D12" s="17" t="str">
        <f>"0,8097"</f>
        <v>0,8097</v>
      </c>
      <c r="E12" s="17" t="s">
        <v>295</v>
      </c>
      <c r="F12" s="17" t="s">
        <v>116</v>
      </c>
      <c r="G12" s="18" t="s">
        <v>296</v>
      </c>
      <c r="H12" s="19" t="s">
        <v>296</v>
      </c>
      <c r="I12" s="19" t="s">
        <v>297</v>
      </c>
      <c r="J12" s="18"/>
      <c r="K12" s="18" t="s">
        <v>90</v>
      </c>
      <c r="L12" s="19" t="s">
        <v>90</v>
      </c>
      <c r="M12" s="18" t="s">
        <v>91</v>
      </c>
      <c r="N12" s="18"/>
      <c r="O12" s="19" t="s">
        <v>143</v>
      </c>
      <c r="P12" s="19" t="s">
        <v>144</v>
      </c>
      <c r="Q12" s="19" t="s">
        <v>151</v>
      </c>
      <c r="R12" s="18"/>
      <c r="S12" s="31" t="str">
        <f>"275,0"</f>
        <v>275,0</v>
      </c>
      <c r="T12" s="32" t="str">
        <f>"222,6675"</f>
        <v>222,6675</v>
      </c>
      <c r="U12" s="17" t="s">
        <v>298</v>
      </c>
    </row>
    <row r="14" ht="15.75" spans="1:18">
      <c r="A14" s="43" t="s">
        <v>12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21">
      <c r="A15" s="17" t="s">
        <v>299</v>
      </c>
      <c r="B15" s="17" t="s">
        <v>300</v>
      </c>
      <c r="C15" s="17" t="s">
        <v>301</v>
      </c>
      <c r="D15" s="17" t="str">
        <f>"0,6426"</f>
        <v>0,6426</v>
      </c>
      <c r="E15" s="17" t="s">
        <v>115</v>
      </c>
      <c r="F15" s="17" t="s">
        <v>116</v>
      </c>
      <c r="G15" s="18" t="s">
        <v>38</v>
      </c>
      <c r="H15" s="19" t="s">
        <v>302</v>
      </c>
      <c r="I15" s="19" t="s">
        <v>303</v>
      </c>
      <c r="J15" s="18"/>
      <c r="K15" s="19" t="s">
        <v>102</v>
      </c>
      <c r="L15" s="19" t="s">
        <v>89</v>
      </c>
      <c r="M15" s="19" t="s">
        <v>19</v>
      </c>
      <c r="N15" s="18"/>
      <c r="O15" s="19" t="s">
        <v>304</v>
      </c>
      <c r="P15" s="19" t="s">
        <v>283</v>
      </c>
      <c r="Q15" s="19" t="s">
        <v>144</v>
      </c>
      <c r="R15" s="18"/>
      <c r="S15" s="31" t="str">
        <f>"260,0"</f>
        <v>260,0</v>
      </c>
      <c r="T15" s="32" t="str">
        <f>"167,0760"</f>
        <v>167,0760</v>
      </c>
      <c r="U15" s="17" t="s">
        <v>233</v>
      </c>
    </row>
    <row r="17" ht="15.75" spans="1:18">
      <c r="A17" s="43" t="s">
        <v>192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21">
      <c r="A18" s="17" t="s">
        <v>305</v>
      </c>
      <c r="B18" s="17" t="s">
        <v>306</v>
      </c>
      <c r="C18" s="17" t="s">
        <v>307</v>
      </c>
      <c r="D18" s="17" t="str">
        <f>"0,6016"</f>
        <v>0,6016</v>
      </c>
      <c r="E18" s="17" t="s">
        <v>16</v>
      </c>
      <c r="F18" s="17" t="s">
        <v>246</v>
      </c>
      <c r="G18" s="19" t="s">
        <v>308</v>
      </c>
      <c r="H18" s="19" t="s">
        <v>169</v>
      </c>
      <c r="I18" s="19" t="s">
        <v>118</v>
      </c>
      <c r="J18" s="18"/>
      <c r="K18" s="19" t="s">
        <v>143</v>
      </c>
      <c r="L18" s="19" t="s">
        <v>144</v>
      </c>
      <c r="M18" s="19" t="s">
        <v>151</v>
      </c>
      <c r="N18" s="18"/>
      <c r="O18" s="19" t="s">
        <v>117</v>
      </c>
      <c r="P18" s="19" t="s">
        <v>118</v>
      </c>
      <c r="Q18" s="18" t="s">
        <v>309</v>
      </c>
      <c r="R18" s="18"/>
      <c r="S18" s="31" t="str">
        <f>"510,0"</f>
        <v>510,0</v>
      </c>
      <c r="T18" s="32" t="str">
        <f>"306,8160"</f>
        <v>306,8160</v>
      </c>
      <c r="U18" s="17" t="s">
        <v>22</v>
      </c>
    </row>
    <row r="20" ht="15.75" spans="5:5">
      <c r="E20" s="20" t="s">
        <v>23</v>
      </c>
    </row>
    <row r="21" ht="15.75" spans="5:5">
      <c r="E21" s="20" t="s">
        <v>24</v>
      </c>
    </row>
    <row r="22" ht="15.75" spans="5:5">
      <c r="E22" s="20" t="s">
        <v>25</v>
      </c>
    </row>
    <row r="23" ht="15.75" spans="5:5">
      <c r="E23" s="20" t="s">
        <v>26</v>
      </c>
    </row>
    <row r="24" ht="15.75" spans="5:5">
      <c r="E24" s="20" t="s">
        <v>26</v>
      </c>
    </row>
    <row r="25" ht="15.75" spans="5:5">
      <c r="E25" s="20" t="s">
        <v>27</v>
      </c>
    </row>
    <row r="26" ht="15.75" spans="5:5">
      <c r="E26" s="20"/>
    </row>
    <row r="28" ht="18.75" spans="1:2">
      <c r="A28" s="21" t="s">
        <v>28</v>
      </c>
      <c r="B28" s="21"/>
    </row>
    <row r="29" ht="15.75" spans="1:2">
      <c r="A29" s="22" t="s">
        <v>78</v>
      </c>
      <c r="B29" s="22"/>
    </row>
    <row r="30" ht="15" spans="1:2">
      <c r="A30" s="23"/>
      <c r="B30" s="24" t="s">
        <v>310</v>
      </c>
    </row>
    <row r="31" ht="14.25" spans="1:5">
      <c r="A31" s="25" t="s">
        <v>31</v>
      </c>
      <c r="B31" s="25" t="s">
        <v>32</v>
      </c>
      <c r="C31" s="25" t="s">
        <v>33</v>
      </c>
      <c r="D31" s="25" t="s">
        <v>263</v>
      </c>
      <c r="E31" s="25" t="s">
        <v>35</v>
      </c>
    </row>
    <row r="32" spans="1:5">
      <c r="A32" s="26" t="s">
        <v>311</v>
      </c>
      <c r="B32" s="3" t="s">
        <v>312</v>
      </c>
      <c r="C32" s="3" t="s">
        <v>107</v>
      </c>
      <c r="D32" s="3" t="s">
        <v>313</v>
      </c>
      <c r="E32" s="5" t="s">
        <v>314</v>
      </c>
    </row>
    <row r="34" ht="15" spans="1:2">
      <c r="A34" s="23"/>
      <c r="B34" s="24" t="s">
        <v>57</v>
      </c>
    </row>
    <row r="35" ht="14.25" spans="1:5">
      <c r="A35" s="25" t="s">
        <v>31</v>
      </c>
      <c r="B35" s="25" t="s">
        <v>32</v>
      </c>
      <c r="C35" s="25" t="s">
        <v>33</v>
      </c>
      <c r="D35" s="25" t="s">
        <v>263</v>
      </c>
      <c r="E35" s="25" t="s">
        <v>35</v>
      </c>
    </row>
    <row r="36" spans="1:5">
      <c r="A36" s="26" t="s">
        <v>315</v>
      </c>
      <c r="B36" s="3" t="s">
        <v>57</v>
      </c>
      <c r="C36" s="3" t="s">
        <v>123</v>
      </c>
      <c r="D36" s="3" t="s">
        <v>316</v>
      </c>
      <c r="E36" s="5" t="s">
        <v>317</v>
      </c>
    </row>
    <row r="39" ht="15.75" spans="1:2">
      <c r="A39" s="22" t="s">
        <v>29</v>
      </c>
      <c r="B39" s="22"/>
    </row>
    <row r="40" ht="15" spans="1:2">
      <c r="A40" s="23"/>
      <c r="B40" s="24" t="s">
        <v>182</v>
      </c>
    </row>
    <row r="41" ht="14.25" spans="1:5">
      <c r="A41" s="25" t="s">
        <v>31</v>
      </c>
      <c r="B41" s="25" t="s">
        <v>32</v>
      </c>
      <c r="C41" s="25" t="s">
        <v>33</v>
      </c>
      <c r="D41" s="25" t="s">
        <v>263</v>
      </c>
      <c r="E41" s="25" t="s">
        <v>35</v>
      </c>
    </row>
    <row r="42" spans="1:5">
      <c r="A42" s="26" t="s">
        <v>318</v>
      </c>
      <c r="B42" s="3" t="s">
        <v>312</v>
      </c>
      <c r="C42" s="3" t="s">
        <v>319</v>
      </c>
      <c r="D42" s="3" t="s">
        <v>320</v>
      </c>
      <c r="E42" s="5" t="s">
        <v>321</v>
      </c>
    </row>
    <row r="43" spans="1:5">
      <c r="A43" s="26" t="s">
        <v>322</v>
      </c>
      <c r="B43" s="3" t="s">
        <v>215</v>
      </c>
      <c r="C43" s="3" t="s">
        <v>37</v>
      </c>
      <c r="D43" s="3" t="s">
        <v>209</v>
      </c>
      <c r="E43" s="5" t="s">
        <v>323</v>
      </c>
    </row>
    <row r="45" ht="15" spans="1:2">
      <c r="A45" s="23"/>
      <c r="B45" s="24" t="s">
        <v>57</v>
      </c>
    </row>
    <row r="46" ht="14.25" spans="1:5">
      <c r="A46" s="25" t="s">
        <v>31</v>
      </c>
      <c r="B46" s="25" t="s">
        <v>32</v>
      </c>
      <c r="C46" s="25" t="s">
        <v>33</v>
      </c>
      <c r="D46" s="25" t="s">
        <v>263</v>
      </c>
      <c r="E46" s="25" t="s">
        <v>35</v>
      </c>
    </row>
    <row r="47" spans="1:5">
      <c r="A47" s="26" t="s">
        <v>324</v>
      </c>
      <c r="B47" s="3" t="s">
        <v>57</v>
      </c>
      <c r="C47" s="3" t="s">
        <v>199</v>
      </c>
      <c r="D47" s="3" t="s">
        <v>325</v>
      </c>
      <c r="E47" s="5" t="s">
        <v>326</v>
      </c>
    </row>
  </sheetData>
  <mergeCells count="18">
    <mergeCell ref="G3:J3"/>
    <mergeCell ref="K3:N3"/>
    <mergeCell ref="O3:R3"/>
    <mergeCell ref="A5:R5"/>
    <mergeCell ref="A8:R8"/>
    <mergeCell ref="A11:R11"/>
    <mergeCell ref="A14:R14"/>
    <mergeCell ref="A17:R17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29.1111111111111" style="3" customWidth="1"/>
    <col min="7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17.3333333333333" style="3" customWidth="1"/>
    <col min="22" max="16384" width="9.11111111111111" style="4"/>
  </cols>
  <sheetData>
    <row r="1" s="1" customFormat="1" ht="28.95" customHeight="1" spans="1:21">
      <c r="A1" s="6" t="s">
        <v>327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7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260</v>
      </c>
      <c r="H3" s="12"/>
      <c r="I3" s="12"/>
      <c r="J3" s="12"/>
      <c r="K3" s="12" t="s">
        <v>222</v>
      </c>
      <c r="L3" s="12"/>
      <c r="M3" s="12"/>
      <c r="N3" s="12"/>
      <c r="O3" s="12" t="s">
        <v>110</v>
      </c>
      <c r="P3" s="12"/>
      <c r="Q3" s="12"/>
      <c r="R3" s="12"/>
      <c r="S3" s="12" t="s">
        <v>261</v>
      </c>
      <c r="T3" s="12" t="s">
        <v>9</v>
      </c>
      <c r="U3" s="29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0"/>
    </row>
    <row r="5" ht="15.75" spans="1:18">
      <c r="A5" s="15" t="s">
        <v>328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17" t="s">
        <v>329</v>
      </c>
      <c r="B6" s="17" t="s">
        <v>330</v>
      </c>
      <c r="C6" s="17" t="s">
        <v>331</v>
      </c>
      <c r="D6" s="17" t="str">
        <f>"1,2097"</f>
        <v>1,2097</v>
      </c>
      <c r="E6" s="17" t="s">
        <v>149</v>
      </c>
      <c r="F6" s="17" t="s">
        <v>150</v>
      </c>
      <c r="G6" s="19" t="s">
        <v>90</v>
      </c>
      <c r="H6" s="19" t="s">
        <v>91</v>
      </c>
      <c r="I6" s="19" t="s">
        <v>226</v>
      </c>
      <c r="J6" s="18"/>
      <c r="K6" s="19" t="s">
        <v>332</v>
      </c>
      <c r="L6" s="19" t="s">
        <v>333</v>
      </c>
      <c r="M6" s="18" t="s">
        <v>334</v>
      </c>
      <c r="N6" s="18"/>
      <c r="O6" s="19" t="s">
        <v>227</v>
      </c>
      <c r="P6" s="19" t="s">
        <v>273</v>
      </c>
      <c r="Q6" s="19" t="s">
        <v>290</v>
      </c>
      <c r="R6" s="18"/>
      <c r="S6" s="31" t="str">
        <f>"180,0"</f>
        <v>180,0</v>
      </c>
      <c r="T6" s="32" t="str">
        <f>"217,7460"</f>
        <v>217,7460</v>
      </c>
      <c r="U6" s="17" t="s">
        <v>154</v>
      </c>
    </row>
    <row r="8" ht="15.75" spans="1:18">
      <c r="A8" s="43" t="s">
        <v>127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1">
      <c r="A9" s="33" t="s">
        <v>335</v>
      </c>
      <c r="B9" s="33" t="s">
        <v>336</v>
      </c>
      <c r="C9" s="33" t="s">
        <v>337</v>
      </c>
      <c r="D9" s="33" t="str">
        <f>"1,1264"</f>
        <v>1,1264</v>
      </c>
      <c r="E9" s="33" t="s">
        <v>149</v>
      </c>
      <c r="F9" s="33" t="s">
        <v>150</v>
      </c>
      <c r="G9" s="34" t="s">
        <v>19</v>
      </c>
      <c r="H9" s="34" t="s">
        <v>285</v>
      </c>
      <c r="I9" s="35" t="s">
        <v>90</v>
      </c>
      <c r="J9" s="35"/>
      <c r="K9" s="34" t="s">
        <v>333</v>
      </c>
      <c r="L9" s="34" t="s">
        <v>334</v>
      </c>
      <c r="M9" s="35" t="s">
        <v>338</v>
      </c>
      <c r="N9" s="35"/>
      <c r="O9" s="34" t="s">
        <v>273</v>
      </c>
      <c r="P9" s="34" t="s">
        <v>339</v>
      </c>
      <c r="Q9" s="35" t="s">
        <v>302</v>
      </c>
      <c r="R9" s="35"/>
      <c r="S9" s="39" t="str">
        <f>"175,0"</f>
        <v>175,0</v>
      </c>
      <c r="T9" s="40" t="str">
        <f>"197,1200"</f>
        <v>197,1200</v>
      </c>
      <c r="U9" s="33" t="s">
        <v>340</v>
      </c>
    </row>
    <row r="10" spans="1:21">
      <c r="A10" s="36" t="s">
        <v>341</v>
      </c>
      <c r="B10" s="36" t="s">
        <v>342</v>
      </c>
      <c r="C10" s="36" t="s">
        <v>343</v>
      </c>
      <c r="D10" s="36" t="str">
        <f>"1,1334"</f>
        <v>1,1334</v>
      </c>
      <c r="E10" s="36" t="s">
        <v>115</v>
      </c>
      <c r="F10" s="36" t="s">
        <v>116</v>
      </c>
      <c r="G10" s="37" t="s">
        <v>334</v>
      </c>
      <c r="H10" s="37" t="s">
        <v>18</v>
      </c>
      <c r="I10" s="37" t="s">
        <v>102</v>
      </c>
      <c r="J10" s="38"/>
      <c r="K10" s="37" t="s">
        <v>95</v>
      </c>
      <c r="L10" s="37" t="s">
        <v>344</v>
      </c>
      <c r="M10" s="38"/>
      <c r="N10" s="38"/>
      <c r="O10" s="37" t="s">
        <v>284</v>
      </c>
      <c r="P10" s="38" t="s">
        <v>345</v>
      </c>
      <c r="Q10" s="37" t="s">
        <v>345</v>
      </c>
      <c r="R10" s="38"/>
      <c r="S10" s="41" t="str">
        <f>"125,0"</f>
        <v>125,0</v>
      </c>
      <c r="T10" s="42" t="str">
        <f>"141,6750"</f>
        <v>141,6750</v>
      </c>
      <c r="U10" s="36" t="s">
        <v>233</v>
      </c>
    </row>
    <row r="12" ht="15.75" spans="1:18">
      <c r="A12" s="43" t="s">
        <v>69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1">
      <c r="A13" s="17" t="s">
        <v>346</v>
      </c>
      <c r="B13" s="17" t="s">
        <v>347</v>
      </c>
      <c r="C13" s="17" t="s">
        <v>348</v>
      </c>
      <c r="D13" s="17" t="str">
        <f>"1,0926"</f>
        <v>1,0926</v>
      </c>
      <c r="E13" s="17" t="s">
        <v>115</v>
      </c>
      <c r="F13" s="17" t="s">
        <v>116</v>
      </c>
      <c r="G13" s="18" t="s">
        <v>90</v>
      </c>
      <c r="H13" s="19" t="s">
        <v>90</v>
      </c>
      <c r="I13" s="19" t="s">
        <v>91</v>
      </c>
      <c r="J13" s="18"/>
      <c r="K13" s="19" t="s">
        <v>333</v>
      </c>
      <c r="L13" s="19" t="s">
        <v>338</v>
      </c>
      <c r="M13" s="19" t="s">
        <v>284</v>
      </c>
      <c r="N13" s="18"/>
      <c r="O13" s="19" t="s">
        <v>38</v>
      </c>
      <c r="P13" s="19" t="s">
        <v>296</v>
      </c>
      <c r="Q13" s="19" t="s">
        <v>242</v>
      </c>
      <c r="R13" s="18"/>
      <c r="S13" s="31" t="str">
        <f>"210,0"</f>
        <v>210,0</v>
      </c>
      <c r="T13" s="32" t="str">
        <f>"229,4460"</f>
        <v>229,4460</v>
      </c>
      <c r="U13" s="17" t="s">
        <v>233</v>
      </c>
    </row>
    <row r="15" ht="15.75" spans="1:18">
      <c r="A15" s="43" t="s">
        <v>349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1">
      <c r="A16" s="17" t="s">
        <v>350</v>
      </c>
      <c r="B16" s="17" t="s">
        <v>351</v>
      </c>
      <c r="C16" s="17" t="s">
        <v>352</v>
      </c>
      <c r="D16" s="17" t="str">
        <f>"0,9889"</f>
        <v>0,9889</v>
      </c>
      <c r="E16" s="17" t="s">
        <v>149</v>
      </c>
      <c r="F16" s="17" t="s">
        <v>150</v>
      </c>
      <c r="G16" s="19" t="s">
        <v>226</v>
      </c>
      <c r="H16" s="19" t="s">
        <v>273</v>
      </c>
      <c r="I16" s="19" t="s">
        <v>339</v>
      </c>
      <c r="J16" s="18"/>
      <c r="K16" s="19" t="s">
        <v>18</v>
      </c>
      <c r="L16" s="18" t="s">
        <v>102</v>
      </c>
      <c r="M16" s="18" t="s">
        <v>102</v>
      </c>
      <c r="N16" s="18"/>
      <c r="O16" s="19" t="s">
        <v>273</v>
      </c>
      <c r="P16" s="19" t="s">
        <v>302</v>
      </c>
      <c r="Q16" s="18" t="s">
        <v>296</v>
      </c>
      <c r="R16" s="18"/>
      <c r="S16" s="31" t="str">
        <f>"207,5"</f>
        <v>207,5</v>
      </c>
      <c r="T16" s="32" t="str">
        <f>"205,1968"</f>
        <v>205,1968</v>
      </c>
      <c r="U16" s="17" t="s">
        <v>154</v>
      </c>
    </row>
    <row r="18" ht="15.75" spans="1:18">
      <c r="A18" s="43" t="s">
        <v>291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21">
      <c r="A19" s="17" t="s">
        <v>353</v>
      </c>
      <c r="B19" s="17" t="s">
        <v>354</v>
      </c>
      <c r="C19" s="17" t="s">
        <v>355</v>
      </c>
      <c r="D19" s="17" t="str">
        <f>"0,9334"</f>
        <v>0,9334</v>
      </c>
      <c r="E19" s="17" t="s">
        <v>115</v>
      </c>
      <c r="F19" s="17" t="s">
        <v>116</v>
      </c>
      <c r="G19" s="19" t="s">
        <v>91</v>
      </c>
      <c r="H19" s="19" t="s">
        <v>227</v>
      </c>
      <c r="I19" s="19" t="s">
        <v>273</v>
      </c>
      <c r="J19" s="18"/>
      <c r="K19" s="19" t="s">
        <v>332</v>
      </c>
      <c r="L19" s="19" t="s">
        <v>333</v>
      </c>
      <c r="M19" s="19" t="s">
        <v>334</v>
      </c>
      <c r="N19" s="18"/>
      <c r="O19" s="19" t="s">
        <v>302</v>
      </c>
      <c r="P19" s="19" t="s">
        <v>303</v>
      </c>
      <c r="Q19" s="19" t="s">
        <v>242</v>
      </c>
      <c r="R19" s="18"/>
      <c r="S19" s="31" t="str">
        <f>"212,5"</f>
        <v>212,5</v>
      </c>
      <c r="T19" s="32" t="str">
        <f>"198,3581"</f>
        <v>198,3581</v>
      </c>
      <c r="U19" s="17" t="s">
        <v>233</v>
      </c>
    </row>
    <row r="21" ht="15.75" spans="1:18">
      <c r="A21" s="43" t="s">
        <v>291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21">
      <c r="A22" s="17" t="s">
        <v>356</v>
      </c>
      <c r="B22" s="17" t="s">
        <v>357</v>
      </c>
      <c r="C22" s="17" t="s">
        <v>358</v>
      </c>
      <c r="D22" s="17" t="str">
        <f>"0,7513"</f>
        <v>0,7513</v>
      </c>
      <c r="E22" s="17" t="s">
        <v>295</v>
      </c>
      <c r="F22" s="17" t="s">
        <v>359</v>
      </c>
      <c r="G22" s="19" t="s">
        <v>296</v>
      </c>
      <c r="H22" s="19" t="s">
        <v>303</v>
      </c>
      <c r="I22" s="19" t="s">
        <v>297</v>
      </c>
      <c r="J22" s="18"/>
      <c r="K22" s="19" t="s">
        <v>91</v>
      </c>
      <c r="L22" s="19" t="s">
        <v>227</v>
      </c>
      <c r="M22" s="18" t="s">
        <v>21</v>
      </c>
      <c r="N22" s="18"/>
      <c r="O22" s="19" t="s">
        <v>151</v>
      </c>
      <c r="P22" s="19" t="s">
        <v>158</v>
      </c>
      <c r="Q22" s="18" t="s">
        <v>152</v>
      </c>
      <c r="R22" s="18"/>
      <c r="S22" s="31" t="str">
        <f>"290,0"</f>
        <v>290,0</v>
      </c>
      <c r="T22" s="32" t="str">
        <f>"217,8625"</f>
        <v>217,8625</v>
      </c>
      <c r="U22" s="17" t="s">
        <v>298</v>
      </c>
    </row>
    <row r="24" ht="15.75" spans="5:5">
      <c r="E24" s="20" t="s">
        <v>23</v>
      </c>
    </row>
    <row r="25" ht="15.75" spans="5:5">
      <c r="E25" s="20" t="s">
        <v>24</v>
      </c>
    </row>
    <row r="26" ht="15.75" spans="5:5">
      <c r="E26" s="20" t="s">
        <v>25</v>
      </c>
    </row>
    <row r="27" ht="15.75" spans="5:5">
      <c r="E27" s="20" t="s">
        <v>26</v>
      </c>
    </row>
    <row r="28" ht="15.75" spans="5:5">
      <c r="E28" s="20" t="s">
        <v>26</v>
      </c>
    </row>
    <row r="29" ht="15.75" spans="5:5">
      <c r="E29" s="20" t="s">
        <v>27</v>
      </c>
    </row>
    <row r="30" ht="15.75" spans="5:5">
      <c r="E30" s="20"/>
    </row>
    <row r="32" ht="18.75" spans="1:2">
      <c r="A32" s="21" t="s">
        <v>28</v>
      </c>
      <c r="B32" s="21"/>
    </row>
    <row r="33" ht="15.75" spans="1:2">
      <c r="A33" s="22" t="s">
        <v>78</v>
      </c>
      <c r="B33" s="22"/>
    </row>
    <row r="34" ht="15" spans="1:2">
      <c r="A34" s="23"/>
      <c r="B34" s="24" t="s">
        <v>310</v>
      </c>
    </row>
    <row r="35" ht="14.25" spans="1:5">
      <c r="A35" s="25" t="s">
        <v>31</v>
      </c>
      <c r="B35" s="25" t="s">
        <v>32</v>
      </c>
      <c r="C35" s="25" t="s">
        <v>33</v>
      </c>
      <c r="D35" s="25" t="s">
        <v>263</v>
      </c>
      <c r="E35" s="25" t="s">
        <v>35</v>
      </c>
    </row>
    <row r="36" spans="1:5">
      <c r="A36" s="26" t="s">
        <v>360</v>
      </c>
      <c r="B36" s="3" t="s">
        <v>312</v>
      </c>
      <c r="C36" s="3" t="s">
        <v>80</v>
      </c>
      <c r="D36" s="3" t="s">
        <v>174</v>
      </c>
      <c r="E36" s="5" t="s">
        <v>361</v>
      </c>
    </row>
    <row r="37" spans="1:5">
      <c r="A37" s="26" t="s">
        <v>362</v>
      </c>
      <c r="B37" s="3" t="s">
        <v>215</v>
      </c>
      <c r="C37" s="3" t="s">
        <v>319</v>
      </c>
      <c r="D37" s="3" t="s">
        <v>363</v>
      </c>
      <c r="E37" s="5" t="s">
        <v>364</v>
      </c>
    </row>
    <row r="38" spans="1:5">
      <c r="A38" s="26" t="s">
        <v>365</v>
      </c>
      <c r="B38" s="3" t="s">
        <v>215</v>
      </c>
      <c r="C38" s="3" t="s">
        <v>136</v>
      </c>
      <c r="D38" s="3" t="s">
        <v>308</v>
      </c>
      <c r="E38" s="5" t="s">
        <v>366</v>
      </c>
    </row>
    <row r="40" ht="15" spans="1:2">
      <c r="A40" s="23"/>
      <c r="B40" s="24" t="s">
        <v>367</v>
      </c>
    </row>
    <row r="41" ht="14.25" spans="1:5">
      <c r="A41" s="25" t="s">
        <v>31</v>
      </c>
      <c r="B41" s="25" t="s">
        <v>32</v>
      </c>
      <c r="C41" s="25" t="s">
        <v>33</v>
      </c>
      <c r="D41" s="25" t="s">
        <v>263</v>
      </c>
      <c r="E41" s="25" t="s">
        <v>35</v>
      </c>
    </row>
    <row r="42" spans="1:5">
      <c r="A42" s="26" t="s">
        <v>368</v>
      </c>
      <c r="B42" s="3" t="s">
        <v>369</v>
      </c>
      <c r="C42" s="3" t="s">
        <v>136</v>
      </c>
      <c r="D42" s="3" t="s">
        <v>158</v>
      </c>
      <c r="E42" s="5" t="s">
        <v>370</v>
      </c>
    </row>
    <row r="44" ht="15" spans="1:2">
      <c r="A44" s="23"/>
      <c r="B44" s="24" t="s">
        <v>57</v>
      </c>
    </row>
    <row r="45" ht="14.25" spans="1:5">
      <c r="A45" s="25" t="s">
        <v>31</v>
      </c>
      <c r="B45" s="25" t="s">
        <v>32</v>
      </c>
      <c r="C45" s="25" t="s">
        <v>33</v>
      </c>
      <c r="D45" s="25" t="s">
        <v>263</v>
      </c>
      <c r="E45" s="25" t="s">
        <v>35</v>
      </c>
    </row>
    <row r="46" spans="1:5">
      <c r="A46" s="26" t="s">
        <v>371</v>
      </c>
      <c r="B46" s="3" t="s">
        <v>57</v>
      </c>
      <c r="C46" s="3" t="s">
        <v>372</v>
      </c>
      <c r="D46" s="3" t="s">
        <v>117</v>
      </c>
      <c r="E46" s="5" t="s">
        <v>373</v>
      </c>
    </row>
    <row r="47" spans="1:5">
      <c r="A47" s="26" t="s">
        <v>374</v>
      </c>
      <c r="B47" s="3" t="s">
        <v>57</v>
      </c>
      <c r="C47" s="3" t="s">
        <v>375</v>
      </c>
      <c r="D47" s="3" t="s">
        <v>376</v>
      </c>
      <c r="E47" s="5" t="s">
        <v>377</v>
      </c>
    </row>
    <row r="50" ht="15.75" spans="1:2">
      <c r="A50" s="22" t="s">
        <v>29</v>
      </c>
      <c r="B50" s="22"/>
    </row>
    <row r="51" ht="15" spans="1:2">
      <c r="A51" s="23"/>
      <c r="B51" s="24" t="s">
        <v>182</v>
      </c>
    </row>
    <row r="52" ht="14.25" spans="1:5">
      <c r="A52" s="25" t="s">
        <v>31</v>
      </c>
      <c r="B52" s="25" t="s">
        <v>32</v>
      </c>
      <c r="C52" s="25" t="s">
        <v>33</v>
      </c>
      <c r="D52" s="25" t="s">
        <v>263</v>
      </c>
      <c r="E52" s="25" t="s">
        <v>35</v>
      </c>
    </row>
    <row r="53" spans="1:5">
      <c r="A53" s="26" t="s">
        <v>378</v>
      </c>
      <c r="B53" s="3" t="s">
        <v>215</v>
      </c>
      <c r="C53" s="3" t="s">
        <v>319</v>
      </c>
      <c r="D53" s="3" t="s">
        <v>379</v>
      </c>
      <c r="E53" s="5" t="s">
        <v>380</v>
      </c>
    </row>
  </sheetData>
  <mergeCells count="19">
    <mergeCell ref="G3:J3"/>
    <mergeCell ref="K3:N3"/>
    <mergeCell ref="O3:R3"/>
    <mergeCell ref="A5:R5"/>
    <mergeCell ref="A8:R8"/>
    <mergeCell ref="A12:R12"/>
    <mergeCell ref="A15:R15"/>
    <mergeCell ref="A18:R18"/>
    <mergeCell ref="A21:R2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M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24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13</v>
      </c>
      <c r="B6" s="17" t="s">
        <v>14</v>
      </c>
      <c r="C6" s="17" t="s">
        <v>15</v>
      </c>
      <c r="D6" s="17" t="str">
        <f>"0,6487"</f>
        <v>0,6487</v>
      </c>
      <c r="E6" s="17" t="s">
        <v>16</v>
      </c>
      <c r="F6" s="17" t="s">
        <v>17</v>
      </c>
      <c r="G6" s="19" t="s">
        <v>41</v>
      </c>
      <c r="H6" s="19" t="s">
        <v>42</v>
      </c>
      <c r="I6" s="19" t="s">
        <v>43</v>
      </c>
      <c r="J6" s="19" t="s">
        <v>44</v>
      </c>
      <c r="K6" s="31" t="str">
        <f>"59,0"</f>
        <v>59,0</v>
      </c>
      <c r="L6" s="32" t="str">
        <f>"38,2733"</f>
        <v>38,2733</v>
      </c>
      <c r="M6" s="17" t="s">
        <v>22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29</v>
      </c>
      <c r="B17" s="22"/>
    </row>
    <row r="18" ht="15" spans="1:2">
      <c r="A18" s="23"/>
      <c r="B18" s="24" t="s">
        <v>30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36</v>
      </c>
      <c r="B20" s="3" t="s">
        <v>30</v>
      </c>
      <c r="C20" s="3" t="s">
        <v>37</v>
      </c>
      <c r="D20" s="3" t="s">
        <v>45</v>
      </c>
      <c r="E20" s="5" t="s">
        <v>46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6" width="21.7777777777778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381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222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382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383</v>
      </c>
      <c r="B6" s="17" t="s">
        <v>384</v>
      </c>
      <c r="C6" s="17" t="s">
        <v>385</v>
      </c>
      <c r="D6" s="17" t="str">
        <f>"0,5378"</f>
        <v>0,5378</v>
      </c>
      <c r="E6" s="17" t="s">
        <v>16</v>
      </c>
      <c r="F6" s="17" t="s">
        <v>116</v>
      </c>
      <c r="G6" s="19" t="s">
        <v>262</v>
      </c>
      <c r="H6" s="18" t="s">
        <v>386</v>
      </c>
      <c r="I6" s="18" t="s">
        <v>386</v>
      </c>
      <c r="J6" s="18"/>
      <c r="K6" s="31" t="str">
        <f>"220,0"</f>
        <v>220,0</v>
      </c>
      <c r="L6" s="32" t="str">
        <f>"118,3072"</f>
        <v>118,3072</v>
      </c>
      <c r="M6" s="17" t="s">
        <v>22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29</v>
      </c>
      <c r="B17" s="22"/>
    </row>
    <row r="18" ht="15" spans="1:2">
      <c r="A18" s="23"/>
      <c r="B18" s="24" t="s">
        <v>57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387</v>
      </c>
      <c r="B20" s="3" t="s">
        <v>57</v>
      </c>
      <c r="C20" s="3" t="s">
        <v>388</v>
      </c>
      <c r="D20" s="3" t="s">
        <v>262</v>
      </c>
      <c r="E20" s="5" t="s">
        <v>389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8.4444444444444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390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222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3" t="s">
        <v>391</v>
      </c>
      <c r="B6" s="33" t="s">
        <v>392</v>
      </c>
      <c r="C6" s="33" t="s">
        <v>393</v>
      </c>
      <c r="D6" s="33" t="str">
        <f>"0,6503"</f>
        <v>0,6503</v>
      </c>
      <c r="E6" s="33" t="s">
        <v>88</v>
      </c>
      <c r="F6" s="33" t="s">
        <v>74</v>
      </c>
      <c r="G6" s="34" t="s">
        <v>132</v>
      </c>
      <c r="H6" s="35" t="s">
        <v>133</v>
      </c>
      <c r="I6" s="35" t="s">
        <v>394</v>
      </c>
      <c r="J6" s="35"/>
      <c r="K6" s="39" t="str">
        <f>"150,0"</f>
        <v>150,0</v>
      </c>
      <c r="L6" s="40" t="str">
        <f>"97,5375"</f>
        <v>97,5375</v>
      </c>
      <c r="M6" s="33" t="s">
        <v>22</v>
      </c>
    </row>
    <row r="7" spans="1:13">
      <c r="A7" s="36" t="s">
        <v>395</v>
      </c>
      <c r="B7" s="36" t="s">
        <v>396</v>
      </c>
      <c r="C7" s="36" t="s">
        <v>172</v>
      </c>
      <c r="D7" s="36" t="str">
        <f>"0,6557"</f>
        <v>0,6557</v>
      </c>
      <c r="E7" s="36" t="s">
        <v>16</v>
      </c>
      <c r="F7" s="36" t="s">
        <v>116</v>
      </c>
      <c r="G7" s="37" t="s">
        <v>152</v>
      </c>
      <c r="H7" s="38" t="s">
        <v>164</v>
      </c>
      <c r="I7" s="38" t="s">
        <v>164</v>
      </c>
      <c r="J7" s="38"/>
      <c r="K7" s="41" t="str">
        <f>"130,0"</f>
        <v>130,0</v>
      </c>
      <c r="L7" s="42" t="str">
        <f>"85,2345"</f>
        <v>85,2345</v>
      </c>
      <c r="M7" s="36" t="s">
        <v>22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29</v>
      </c>
      <c r="B18" s="22"/>
    </row>
    <row r="19" ht="15" spans="1:2">
      <c r="A19" s="23"/>
      <c r="B19" s="24" t="s">
        <v>30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34</v>
      </c>
      <c r="E20" s="25" t="s">
        <v>35</v>
      </c>
    </row>
    <row r="21" spans="1:5">
      <c r="A21" s="26" t="s">
        <v>397</v>
      </c>
      <c r="B21" s="3" t="s">
        <v>369</v>
      </c>
      <c r="C21" s="3" t="s">
        <v>123</v>
      </c>
      <c r="D21" s="3" t="s">
        <v>132</v>
      </c>
      <c r="E21" s="5" t="s">
        <v>398</v>
      </c>
    </row>
    <row r="23" ht="15" spans="1:2">
      <c r="A23" s="23"/>
      <c r="B23" s="24" t="s">
        <v>57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34</v>
      </c>
      <c r="E24" s="25" t="s">
        <v>35</v>
      </c>
    </row>
    <row r="25" spans="1:5">
      <c r="A25" s="26" t="s">
        <v>399</v>
      </c>
      <c r="B25" s="3" t="s">
        <v>57</v>
      </c>
      <c r="C25" s="3" t="s">
        <v>123</v>
      </c>
      <c r="D25" s="3" t="s">
        <v>152</v>
      </c>
      <c r="E25" s="5" t="s">
        <v>400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28.7777777777778" style="3" customWidth="1"/>
    <col min="7" max="9" width="5.55555555555556" style="4" customWidth="1"/>
    <col min="10" max="10" width="4.55555555555556" style="4" customWidth="1"/>
    <col min="11" max="13" width="5.55555555555556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401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7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260</v>
      </c>
      <c r="H3" s="12"/>
      <c r="I3" s="12"/>
      <c r="J3" s="12"/>
      <c r="K3" s="12" t="s">
        <v>222</v>
      </c>
      <c r="L3" s="12"/>
      <c r="M3" s="12"/>
      <c r="N3" s="12"/>
      <c r="O3" s="12" t="s">
        <v>110</v>
      </c>
      <c r="P3" s="12"/>
      <c r="Q3" s="12"/>
      <c r="R3" s="12"/>
      <c r="S3" s="12" t="s">
        <v>261</v>
      </c>
      <c r="T3" s="12" t="s">
        <v>9</v>
      </c>
      <c r="U3" s="29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0"/>
    </row>
    <row r="5" ht="15.75" spans="1:18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17" t="s">
        <v>402</v>
      </c>
      <c r="B6" s="17" t="s">
        <v>403</v>
      </c>
      <c r="C6" s="17" t="s">
        <v>404</v>
      </c>
      <c r="D6" s="17" t="str">
        <f>"0,6545"</f>
        <v>0,6545</v>
      </c>
      <c r="E6" s="17" t="s">
        <v>16</v>
      </c>
      <c r="F6" s="17" t="s">
        <v>405</v>
      </c>
      <c r="G6" s="18" t="s">
        <v>169</v>
      </c>
      <c r="H6" s="19" t="s">
        <v>169</v>
      </c>
      <c r="I6" s="19" t="s">
        <v>406</v>
      </c>
      <c r="J6" s="18"/>
      <c r="K6" s="19" t="s">
        <v>407</v>
      </c>
      <c r="L6" s="19" t="s">
        <v>408</v>
      </c>
      <c r="M6" s="18" t="s">
        <v>409</v>
      </c>
      <c r="N6" s="18"/>
      <c r="O6" s="19" t="s">
        <v>386</v>
      </c>
      <c r="P6" s="19" t="s">
        <v>212</v>
      </c>
      <c r="Q6" s="18" t="s">
        <v>410</v>
      </c>
      <c r="R6" s="18"/>
      <c r="S6" s="31" t="str">
        <f>"557,5"</f>
        <v>557,5</v>
      </c>
      <c r="T6" s="32" t="str">
        <f>"454,6452"</f>
        <v>454,6452</v>
      </c>
      <c r="U6" s="17" t="s">
        <v>22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29</v>
      </c>
      <c r="B17" s="22"/>
    </row>
    <row r="18" ht="15" spans="1:2">
      <c r="A18" s="23"/>
      <c r="B18" s="24" t="s">
        <v>104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263</v>
      </c>
      <c r="E19" s="25" t="s">
        <v>35</v>
      </c>
    </row>
    <row r="20" spans="1:5">
      <c r="A20" s="26" t="s">
        <v>411</v>
      </c>
      <c r="B20" s="3" t="s">
        <v>189</v>
      </c>
      <c r="C20" s="3" t="s">
        <v>123</v>
      </c>
      <c r="D20" s="3" t="s">
        <v>412</v>
      </c>
      <c r="E20" s="5" t="s">
        <v>413</v>
      </c>
    </row>
  </sheetData>
  <mergeCells count="14">
    <mergeCell ref="G3:J3"/>
    <mergeCell ref="K3:N3"/>
    <mergeCell ref="O3:R3"/>
    <mergeCell ref="A5:R5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A1" sqref="A1:M2"/>
    </sheetView>
  </sheetViews>
  <sheetFormatPr defaultColWidth="9.11111111111111" defaultRowHeight="12.75"/>
  <cols>
    <col min="1" max="1" width="24.6666666666667" style="3" customWidth="1"/>
    <col min="2" max="2" width="28.6666666666667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24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48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3" t="s">
        <v>49</v>
      </c>
      <c r="B6" s="33" t="s">
        <v>50</v>
      </c>
      <c r="C6" s="33" t="s">
        <v>51</v>
      </c>
      <c r="D6" s="33" t="str">
        <f>"0,5530"</f>
        <v>0,5530</v>
      </c>
      <c r="E6" s="33" t="s">
        <v>16</v>
      </c>
      <c r="F6" s="33" t="s">
        <v>17</v>
      </c>
      <c r="G6" s="34" t="s">
        <v>52</v>
      </c>
      <c r="H6" s="34" t="s">
        <v>53</v>
      </c>
      <c r="I6" s="34" t="s">
        <v>54</v>
      </c>
      <c r="J6" s="34" t="s">
        <v>55</v>
      </c>
      <c r="K6" s="39" t="str">
        <f>"68,0"</f>
        <v>68,0</v>
      </c>
      <c r="L6" s="40" t="str">
        <f>"37,6040"</f>
        <v>37,6040</v>
      </c>
      <c r="M6" s="33" t="s">
        <v>22</v>
      </c>
    </row>
    <row r="7" spans="1:13">
      <c r="A7" s="36" t="s">
        <v>49</v>
      </c>
      <c r="B7" s="36" t="s">
        <v>56</v>
      </c>
      <c r="C7" s="36" t="s">
        <v>51</v>
      </c>
      <c r="D7" s="36" t="str">
        <f>"0,5530"</f>
        <v>0,5530</v>
      </c>
      <c r="E7" s="36" t="s">
        <v>16</v>
      </c>
      <c r="F7" s="36" t="s">
        <v>17</v>
      </c>
      <c r="G7" s="37" t="s">
        <v>52</v>
      </c>
      <c r="H7" s="37" t="s">
        <v>53</v>
      </c>
      <c r="I7" s="37" t="s">
        <v>54</v>
      </c>
      <c r="J7" s="37" t="s">
        <v>55</v>
      </c>
      <c r="K7" s="41" t="str">
        <f>"68,0"</f>
        <v>68,0</v>
      </c>
      <c r="L7" s="42" t="str">
        <f>"46,8546"</f>
        <v>46,8546</v>
      </c>
      <c r="M7" s="36" t="s">
        <v>22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29</v>
      </c>
      <c r="B18" s="22"/>
    </row>
    <row r="19" ht="15" spans="1:2">
      <c r="A19" s="23"/>
      <c r="B19" s="24" t="s">
        <v>57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34</v>
      </c>
      <c r="E20" s="25" t="s">
        <v>35</v>
      </c>
    </row>
    <row r="21" spans="1:5">
      <c r="A21" s="26" t="s">
        <v>58</v>
      </c>
      <c r="B21" s="3" t="s">
        <v>57</v>
      </c>
      <c r="C21" s="3" t="s">
        <v>59</v>
      </c>
      <c r="D21" s="3" t="s">
        <v>55</v>
      </c>
      <c r="E21" s="5" t="s">
        <v>60</v>
      </c>
    </row>
    <row r="23" ht="15" spans="1:2">
      <c r="A23" s="23"/>
      <c r="B23" s="24" t="s">
        <v>61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34</v>
      </c>
      <c r="E24" s="25" t="s">
        <v>35</v>
      </c>
    </row>
    <row r="25" spans="1:5">
      <c r="A25" s="26" t="s">
        <v>58</v>
      </c>
      <c r="B25" s="3" t="s">
        <v>62</v>
      </c>
      <c r="C25" s="3" t="s">
        <v>59</v>
      </c>
      <c r="D25" s="3" t="s">
        <v>55</v>
      </c>
      <c r="E25" s="5" t="s">
        <v>63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7" width="4.77777777777778" style="4" customWidth="1"/>
    <col min="8" max="8" width="10" style="4" customWidth="1"/>
    <col min="9" max="9" width="7.66666666666667" style="5" customWidth="1"/>
    <col min="10" max="10" width="8.55555555555556" style="1" customWidth="1"/>
    <col min="11" max="11" width="13.5555555555556" style="3" customWidth="1"/>
    <col min="12" max="16384" width="9.11111111111111" style="4"/>
  </cols>
  <sheetData>
    <row r="1" s="1" customFormat="1" ht="28.95" customHeight="1" spans="1:11">
      <c r="A1" s="6" t="s">
        <v>64</v>
      </c>
      <c r="B1" s="7"/>
      <c r="C1" s="7"/>
      <c r="D1" s="7"/>
      <c r="E1" s="7"/>
      <c r="F1" s="7"/>
      <c r="G1" s="7"/>
      <c r="H1" s="7"/>
      <c r="I1" s="7"/>
      <c r="J1" s="7"/>
      <c r="K1" s="27"/>
    </row>
    <row r="2" s="1" customFormat="1" ht="61.95" customHeight="1" spans="1:11">
      <c r="A2" s="8"/>
      <c r="B2" s="9"/>
      <c r="C2" s="9"/>
      <c r="D2" s="9"/>
      <c r="E2" s="9"/>
      <c r="F2" s="9"/>
      <c r="G2" s="9"/>
      <c r="H2" s="9"/>
      <c r="I2" s="9"/>
      <c r="J2" s="9"/>
      <c r="K2" s="28"/>
    </row>
    <row r="3" s="2" customFormat="1" customHeight="1" spans="1:1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65</v>
      </c>
      <c r="H3" s="12"/>
      <c r="I3" s="12" t="s">
        <v>66</v>
      </c>
      <c r="J3" s="12" t="s">
        <v>9</v>
      </c>
      <c r="K3" s="29" t="s">
        <v>10</v>
      </c>
    </row>
    <row r="4" s="2" customFormat="1" ht="21" customHeight="1" spans="1:11">
      <c r="A4" s="13"/>
      <c r="B4" s="14"/>
      <c r="C4" s="14"/>
      <c r="D4" s="14"/>
      <c r="E4" s="14"/>
      <c r="F4" s="14"/>
      <c r="G4" s="14" t="s">
        <v>67</v>
      </c>
      <c r="H4" s="14" t="s">
        <v>68</v>
      </c>
      <c r="I4" s="14"/>
      <c r="J4" s="14"/>
      <c r="K4" s="30"/>
    </row>
    <row r="5" ht="15.75" spans="1:8">
      <c r="A5" s="15" t="s">
        <v>69</v>
      </c>
      <c r="B5" s="16"/>
      <c r="C5" s="16"/>
      <c r="D5" s="16"/>
      <c r="E5" s="16"/>
      <c r="F5" s="16"/>
      <c r="G5" s="16"/>
      <c r="H5" s="16"/>
    </row>
    <row r="6" spans="1:11">
      <c r="A6" s="17" t="s">
        <v>70</v>
      </c>
      <c r="B6" s="17" t="s">
        <v>71</v>
      </c>
      <c r="C6" s="17" t="s">
        <v>72</v>
      </c>
      <c r="D6" s="17" t="str">
        <f>"1,0545"</f>
        <v>1,0545</v>
      </c>
      <c r="E6" s="17" t="s">
        <v>73</v>
      </c>
      <c r="F6" s="17" t="s">
        <v>74</v>
      </c>
      <c r="G6" s="19" t="s">
        <v>75</v>
      </c>
      <c r="H6" s="19" t="s">
        <v>76</v>
      </c>
      <c r="I6" s="31" t="str">
        <f>"570,0"</f>
        <v>570,0</v>
      </c>
      <c r="J6" s="32" t="str">
        <f>"601,0650"</f>
        <v>601,0650</v>
      </c>
      <c r="K6" s="17" t="s">
        <v>77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78</v>
      </c>
      <c r="B17" s="22"/>
    </row>
    <row r="18" ht="15" spans="1:2">
      <c r="A18" s="23"/>
      <c r="B18" s="24" t="s">
        <v>57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79</v>
      </c>
      <c r="B20" s="3" t="s">
        <v>57</v>
      </c>
      <c r="C20" s="3" t="s">
        <v>80</v>
      </c>
      <c r="D20" s="3" t="s">
        <v>81</v>
      </c>
      <c r="E20" s="5" t="s">
        <v>82</v>
      </c>
    </row>
  </sheetData>
  <mergeCells count="12">
    <mergeCell ref="G3:H3"/>
    <mergeCell ref="A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84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85</v>
      </c>
      <c r="B6" s="17" t="s">
        <v>86</v>
      </c>
      <c r="C6" s="17" t="s">
        <v>87</v>
      </c>
      <c r="D6" s="17" t="str">
        <f>"0,6122"</f>
        <v>0,6122</v>
      </c>
      <c r="E6" s="17" t="s">
        <v>88</v>
      </c>
      <c r="F6" s="17" t="s">
        <v>74</v>
      </c>
      <c r="G6" s="19" t="s">
        <v>89</v>
      </c>
      <c r="H6" s="19" t="s">
        <v>90</v>
      </c>
      <c r="I6" s="18" t="s">
        <v>91</v>
      </c>
      <c r="J6" s="18"/>
      <c r="K6" s="31" t="str">
        <f>"60,0"</f>
        <v>60,0</v>
      </c>
      <c r="L6" s="32" t="str">
        <f>"36,7350"</f>
        <v>36,7350</v>
      </c>
      <c r="M6" s="17" t="s">
        <v>22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29</v>
      </c>
      <c r="B17" s="22"/>
    </row>
    <row r="18" ht="15" spans="1:2">
      <c r="A18" s="23"/>
      <c r="B18" s="24" t="s">
        <v>57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92</v>
      </c>
      <c r="B20" s="3" t="s">
        <v>57</v>
      </c>
      <c r="C20" s="3" t="s">
        <v>37</v>
      </c>
      <c r="D20" s="3" t="s">
        <v>90</v>
      </c>
      <c r="E20" s="5" t="s">
        <v>93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30.2222222222222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13.5555555555556" style="3" customWidth="1"/>
    <col min="14" max="16384" width="9.11111111111111" style="4"/>
  </cols>
  <sheetData>
    <row r="1" s="1" customFormat="1" ht="28.95" customHeight="1" spans="1:13">
      <c r="A1" s="6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84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69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70</v>
      </c>
      <c r="B6" s="17" t="s">
        <v>71</v>
      </c>
      <c r="C6" s="17" t="s">
        <v>72</v>
      </c>
      <c r="D6" s="17" t="str">
        <f>"1,0545"</f>
        <v>1,0545</v>
      </c>
      <c r="E6" s="17" t="s">
        <v>73</v>
      </c>
      <c r="F6" s="17" t="s">
        <v>74</v>
      </c>
      <c r="G6" s="19" t="s">
        <v>95</v>
      </c>
      <c r="H6" s="19" t="s">
        <v>96</v>
      </c>
      <c r="I6" s="18" t="s">
        <v>97</v>
      </c>
      <c r="J6" s="18"/>
      <c r="K6" s="31" t="str">
        <f>"25,0"</f>
        <v>25,0</v>
      </c>
      <c r="L6" s="32" t="str">
        <f>"26,3625"</f>
        <v>26,3625</v>
      </c>
      <c r="M6" s="17" t="s">
        <v>77</v>
      </c>
    </row>
    <row r="8" ht="15.75" spans="1:10">
      <c r="A8" s="43" t="s">
        <v>98</v>
      </c>
      <c r="B8" s="44"/>
      <c r="C8" s="44"/>
      <c r="D8" s="44"/>
      <c r="E8" s="44"/>
      <c r="F8" s="44"/>
      <c r="G8" s="44"/>
      <c r="H8" s="44"/>
      <c r="I8" s="44"/>
      <c r="J8" s="44"/>
    </row>
    <row r="9" spans="1:13">
      <c r="A9" s="17" t="s">
        <v>99</v>
      </c>
      <c r="B9" s="17" t="s">
        <v>100</v>
      </c>
      <c r="C9" s="17" t="s">
        <v>101</v>
      </c>
      <c r="D9" s="17" t="str">
        <f>"0,7438"</f>
        <v>0,7438</v>
      </c>
      <c r="E9" s="17" t="s">
        <v>16</v>
      </c>
      <c r="F9" s="17" t="s">
        <v>74</v>
      </c>
      <c r="G9" s="19" t="s">
        <v>18</v>
      </c>
      <c r="H9" s="19" t="s">
        <v>102</v>
      </c>
      <c r="I9" s="19" t="s">
        <v>89</v>
      </c>
      <c r="J9" s="18"/>
      <c r="K9" s="31" t="str">
        <f>"50,0"</f>
        <v>50,0</v>
      </c>
      <c r="L9" s="32" t="str">
        <f>"38,3429"</f>
        <v>38,3429</v>
      </c>
      <c r="M9" s="17" t="s">
        <v>22</v>
      </c>
    </row>
    <row r="11" ht="15.75" spans="5:5">
      <c r="E11" s="20" t="s">
        <v>23</v>
      </c>
    </row>
    <row r="12" ht="15.75" spans="5:5">
      <c r="E12" s="20" t="s">
        <v>24</v>
      </c>
    </row>
    <row r="13" ht="15.75" spans="5:5">
      <c r="E13" s="20" t="s">
        <v>25</v>
      </c>
    </row>
    <row r="14" ht="15.75" spans="5:5">
      <c r="E14" s="20" t="s">
        <v>26</v>
      </c>
    </row>
    <row r="15" ht="15.75" spans="5:5">
      <c r="E15" s="20" t="s">
        <v>26</v>
      </c>
    </row>
    <row r="16" ht="15.75" spans="5:5">
      <c r="E16" s="20" t="s">
        <v>27</v>
      </c>
    </row>
    <row r="17" ht="15.75" spans="5:5">
      <c r="E17" s="20"/>
    </row>
    <row r="19" ht="18.75" spans="1:2">
      <c r="A19" s="21" t="s">
        <v>28</v>
      </c>
      <c r="B19" s="21"/>
    </row>
    <row r="20" ht="15.75" spans="1:2">
      <c r="A20" s="22" t="s">
        <v>78</v>
      </c>
      <c r="B20" s="22"/>
    </row>
    <row r="21" ht="15" spans="1:2">
      <c r="A21" s="23"/>
      <c r="B21" s="24" t="s">
        <v>57</v>
      </c>
    </row>
    <row r="22" ht="14.25" spans="1:5">
      <c r="A22" s="25" t="s">
        <v>31</v>
      </c>
      <c r="B22" s="25" t="s">
        <v>32</v>
      </c>
      <c r="C22" s="25" t="s">
        <v>33</v>
      </c>
      <c r="D22" s="25" t="s">
        <v>34</v>
      </c>
      <c r="E22" s="25" t="s">
        <v>35</v>
      </c>
    </row>
    <row r="23" spans="1:5">
      <c r="A23" s="26" t="s">
        <v>79</v>
      </c>
      <c r="B23" s="3" t="s">
        <v>57</v>
      </c>
      <c r="C23" s="3" t="s">
        <v>80</v>
      </c>
      <c r="D23" s="3" t="s">
        <v>96</v>
      </c>
      <c r="E23" s="5" t="s">
        <v>103</v>
      </c>
    </row>
    <row r="26" ht="15.75" spans="1:2">
      <c r="A26" s="22" t="s">
        <v>29</v>
      </c>
      <c r="B26" s="22"/>
    </row>
    <row r="27" ht="15" spans="1:2">
      <c r="A27" s="23"/>
      <c r="B27" s="24" t="s">
        <v>104</v>
      </c>
    </row>
    <row r="28" ht="14.25" spans="1:5">
      <c r="A28" s="25" t="s">
        <v>31</v>
      </c>
      <c r="B28" s="25" t="s">
        <v>32</v>
      </c>
      <c r="C28" s="25" t="s">
        <v>33</v>
      </c>
      <c r="D28" s="25" t="s">
        <v>34</v>
      </c>
      <c r="E28" s="25" t="s">
        <v>35</v>
      </c>
    </row>
    <row r="29" spans="1:5">
      <c r="A29" s="26" t="s">
        <v>105</v>
      </c>
      <c r="B29" s="3" t="s">
        <v>106</v>
      </c>
      <c r="C29" s="3" t="s">
        <v>107</v>
      </c>
      <c r="D29" s="3" t="s">
        <v>89</v>
      </c>
      <c r="E29" s="5" t="s">
        <v>108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6" width="21.7777777777778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16.2222222222222" style="3" customWidth="1"/>
    <col min="14" max="16384" width="9.11111111111111" style="4"/>
  </cols>
  <sheetData>
    <row r="1" s="1" customFormat="1" ht="28.95" customHeight="1" spans="1:13">
      <c r="A1" s="6" t="s">
        <v>109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110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111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3" t="s">
        <v>112</v>
      </c>
      <c r="B6" s="33" t="s">
        <v>113</v>
      </c>
      <c r="C6" s="33" t="s">
        <v>114</v>
      </c>
      <c r="D6" s="33" t="str">
        <f>"0,8288"</f>
        <v>0,8288</v>
      </c>
      <c r="E6" s="33" t="s">
        <v>115</v>
      </c>
      <c r="F6" s="33" t="s">
        <v>116</v>
      </c>
      <c r="G6" s="34" t="s">
        <v>117</v>
      </c>
      <c r="H6" s="34" t="s">
        <v>118</v>
      </c>
      <c r="I6" s="34" t="s">
        <v>119</v>
      </c>
      <c r="J6" s="35"/>
      <c r="K6" s="39" t="str">
        <f>"205,0"</f>
        <v>205,0</v>
      </c>
      <c r="L6" s="40" t="str">
        <f>"169,9142"</f>
        <v>169,9142</v>
      </c>
      <c r="M6" s="33" t="s">
        <v>120</v>
      </c>
    </row>
    <row r="7" spans="1:13">
      <c r="A7" s="36" t="s">
        <v>112</v>
      </c>
      <c r="B7" s="36" t="s">
        <v>121</v>
      </c>
      <c r="C7" s="36" t="s">
        <v>114</v>
      </c>
      <c r="D7" s="36" t="str">
        <f>"0,8288"</f>
        <v>0,8288</v>
      </c>
      <c r="E7" s="36" t="s">
        <v>115</v>
      </c>
      <c r="F7" s="36" t="s">
        <v>116</v>
      </c>
      <c r="G7" s="37" t="s">
        <v>117</v>
      </c>
      <c r="H7" s="37" t="s">
        <v>118</v>
      </c>
      <c r="I7" s="37" t="s">
        <v>119</v>
      </c>
      <c r="J7" s="38"/>
      <c r="K7" s="41" t="str">
        <f>"205,0"</f>
        <v>205,0</v>
      </c>
      <c r="L7" s="42" t="str">
        <f>"171,6134"</f>
        <v>171,6134</v>
      </c>
      <c r="M7" s="36" t="s">
        <v>120</v>
      </c>
    </row>
    <row r="9" ht="15.75" spans="5:5">
      <c r="E9" s="20" t="s">
        <v>23</v>
      </c>
    </row>
    <row r="10" ht="15.75" spans="5:5">
      <c r="E10" s="20" t="s">
        <v>24</v>
      </c>
    </row>
    <row r="11" ht="15.75" spans="5:5">
      <c r="E11" s="20" t="s">
        <v>25</v>
      </c>
    </row>
    <row r="12" ht="15.75" spans="5:5">
      <c r="E12" s="20" t="s">
        <v>26</v>
      </c>
    </row>
    <row r="13" ht="15.75" spans="5:5">
      <c r="E13" s="20" t="s">
        <v>26</v>
      </c>
    </row>
    <row r="14" ht="15.75" spans="5:5">
      <c r="E14" s="20" t="s">
        <v>27</v>
      </c>
    </row>
    <row r="15" ht="15.75" spans="5:5">
      <c r="E15" s="20"/>
    </row>
    <row r="17" ht="18.75" spans="1:2">
      <c r="A17" s="21" t="s">
        <v>28</v>
      </c>
      <c r="B17" s="21"/>
    </row>
    <row r="18" ht="15.75" spans="1:2">
      <c r="A18" s="22" t="s">
        <v>78</v>
      </c>
      <c r="B18" s="22"/>
    </row>
    <row r="19" ht="15" spans="1:2">
      <c r="A19" s="23"/>
      <c r="B19" s="24" t="s">
        <v>57</v>
      </c>
    </row>
    <row r="20" ht="14.25" spans="1:5">
      <c r="A20" s="25" t="s">
        <v>31</v>
      </c>
      <c r="B20" s="25" t="s">
        <v>32</v>
      </c>
      <c r="C20" s="25" t="s">
        <v>33</v>
      </c>
      <c r="D20" s="25" t="s">
        <v>34</v>
      </c>
      <c r="E20" s="25" t="s">
        <v>35</v>
      </c>
    </row>
    <row r="21" spans="1:5">
      <c r="A21" s="26" t="s">
        <v>122</v>
      </c>
      <c r="B21" s="3" t="s">
        <v>57</v>
      </c>
      <c r="C21" s="3" t="s">
        <v>123</v>
      </c>
      <c r="D21" s="3" t="s">
        <v>119</v>
      </c>
      <c r="E21" s="5" t="s">
        <v>124</v>
      </c>
    </row>
    <row r="23" ht="15" spans="1:2">
      <c r="A23" s="23"/>
      <c r="B23" s="24" t="s">
        <v>104</v>
      </c>
    </row>
    <row r="24" ht="14.25" spans="1:5">
      <c r="A24" s="25" t="s">
        <v>31</v>
      </c>
      <c r="B24" s="25" t="s">
        <v>32</v>
      </c>
      <c r="C24" s="25" t="s">
        <v>33</v>
      </c>
      <c r="D24" s="25" t="s">
        <v>34</v>
      </c>
      <c r="E24" s="25" t="s">
        <v>35</v>
      </c>
    </row>
    <row r="25" spans="1:5">
      <c r="A25" s="26" t="s">
        <v>122</v>
      </c>
      <c r="B25" s="3" t="s">
        <v>106</v>
      </c>
      <c r="C25" s="3" t="s">
        <v>123</v>
      </c>
      <c r="D25" s="3" t="s">
        <v>119</v>
      </c>
      <c r="E25" s="5" t="s">
        <v>125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6" width="21.7777777777778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16.4444444444444" style="3" customWidth="1"/>
    <col min="14" max="16384" width="9.11111111111111" style="4"/>
  </cols>
  <sheetData>
    <row r="1" s="1" customFormat="1" ht="28.95" customHeight="1" spans="1:13">
      <c r="A1" s="6" t="s">
        <v>126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110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127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128</v>
      </c>
      <c r="B6" s="17" t="s">
        <v>129</v>
      </c>
      <c r="C6" s="17" t="s">
        <v>130</v>
      </c>
      <c r="D6" s="17" t="str">
        <f>"1,1126"</f>
        <v>1,1126</v>
      </c>
      <c r="E6" s="17" t="s">
        <v>115</v>
      </c>
      <c r="F6" s="17" t="s">
        <v>116</v>
      </c>
      <c r="G6" s="19" t="s">
        <v>131</v>
      </c>
      <c r="H6" s="19" t="s">
        <v>132</v>
      </c>
      <c r="I6" s="18" t="s">
        <v>133</v>
      </c>
      <c r="J6" s="18"/>
      <c r="K6" s="31" t="str">
        <f>"150,0"</f>
        <v>150,0</v>
      </c>
      <c r="L6" s="32" t="str">
        <f>"166,8900"</f>
        <v>166,8900</v>
      </c>
      <c r="M6" s="17" t="s">
        <v>134</v>
      </c>
    </row>
    <row r="8" ht="15.75" spans="5:5">
      <c r="E8" s="20" t="s">
        <v>23</v>
      </c>
    </row>
    <row r="9" ht="15.75" spans="5:5">
      <c r="E9" s="20" t="s">
        <v>24</v>
      </c>
    </row>
    <row r="10" ht="15.75" spans="5:5">
      <c r="E10" s="20" t="s">
        <v>25</v>
      </c>
    </row>
    <row r="11" ht="15.75" spans="5:5">
      <c r="E11" s="20" t="s">
        <v>26</v>
      </c>
    </row>
    <row r="12" ht="15.75" spans="5:5">
      <c r="E12" s="20" t="s">
        <v>26</v>
      </c>
    </row>
    <row r="13" ht="15.75" spans="5:5">
      <c r="E13" s="20" t="s">
        <v>27</v>
      </c>
    </row>
    <row r="14" ht="15.75" spans="5:5">
      <c r="E14" s="20"/>
    </row>
    <row r="16" ht="18.75" spans="1:2">
      <c r="A16" s="21" t="s">
        <v>28</v>
      </c>
      <c r="B16" s="21"/>
    </row>
    <row r="17" ht="15.75" spans="1:2">
      <c r="A17" s="22" t="s">
        <v>78</v>
      </c>
      <c r="B17" s="22"/>
    </row>
    <row r="18" ht="15" spans="1:2">
      <c r="A18" s="23"/>
      <c r="B18" s="24" t="s">
        <v>57</v>
      </c>
    </row>
    <row r="19" ht="14.25" spans="1:5">
      <c r="A19" s="25" t="s">
        <v>31</v>
      </c>
      <c r="B19" s="25" t="s">
        <v>32</v>
      </c>
      <c r="C19" s="25" t="s">
        <v>33</v>
      </c>
      <c r="D19" s="25" t="s">
        <v>34</v>
      </c>
      <c r="E19" s="25" t="s">
        <v>35</v>
      </c>
    </row>
    <row r="20" spans="1:5">
      <c r="A20" s="26" t="s">
        <v>135</v>
      </c>
      <c r="B20" s="3" t="s">
        <v>57</v>
      </c>
      <c r="C20" s="3" t="s">
        <v>136</v>
      </c>
      <c r="D20" s="3" t="s">
        <v>132</v>
      </c>
      <c r="E20" s="5" t="s">
        <v>137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29.1111111111111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17.3333333333333" style="3" customWidth="1"/>
    <col min="14" max="16384" width="9.11111111111111" style="4"/>
  </cols>
  <sheetData>
    <row r="1" s="1" customFormat="1" ht="28.95" customHeight="1" spans="1:13">
      <c r="A1" s="6" t="s">
        <v>138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110</v>
      </c>
      <c r="H3" s="12"/>
      <c r="I3" s="12"/>
      <c r="J3" s="12"/>
      <c r="K3" s="12" t="s">
        <v>8</v>
      </c>
      <c r="L3" s="12" t="s">
        <v>9</v>
      </c>
      <c r="M3" s="29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0"/>
    </row>
    <row r="5" ht="15.75" spans="1:10">
      <c r="A5" s="15" t="s">
        <v>127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139</v>
      </c>
      <c r="B6" s="17" t="s">
        <v>140</v>
      </c>
      <c r="C6" s="17" t="s">
        <v>141</v>
      </c>
      <c r="D6" s="17" t="str">
        <f>"1,1178"</f>
        <v>1,1178</v>
      </c>
      <c r="E6" s="17" t="s">
        <v>16</v>
      </c>
      <c r="F6" s="17" t="s">
        <v>116</v>
      </c>
      <c r="G6" s="19" t="s">
        <v>142</v>
      </c>
      <c r="H6" s="19" t="s">
        <v>143</v>
      </c>
      <c r="I6" s="18" t="s">
        <v>144</v>
      </c>
      <c r="J6" s="18"/>
      <c r="K6" s="31" t="str">
        <f>"110,0"</f>
        <v>110,0</v>
      </c>
      <c r="L6" s="32" t="str">
        <f>"122,9580"</f>
        <v>122,9580</v>
      </c>
      <c r="M6" s="17" t="s">
        <v>145</v>
      </c>
    </row>
    <row r="8" ht="15.75" spans="1:10">
      <c r="A8" s="43" t="s">
        <v>111</v>
      </c>
      <c r="B8" s="44"/>
      <c r="C8" s="44"/>
      <c r="D8" s="44"/>
      <c r="E8" s="44"/>
      <c r="F8" s="44"/>
      <c r="G8" s="44"/>
      <c r="H8" s="44"/>
      <c r="I8" s="44"/>
      <c r="J8" s="44"/>
    </row>
    <row r="9" spans="1:13">
      <c r="A9" s="17" t="s">
        <v>146</v>
      </c>
      <c r="B9" s="17" t="s">
        <v>147</v>
      </c>
      <c r="C9" s="17" t="s">
        <v>148</v>
      </c>
      <c r="D9" s="17" t="str">
        <f>"0,8295"</f>
        <v>0,8295</v>
      </c>
      <c r="E9" s="17" t="s">
        <v>149</v>
      </c>
      <c r="F9" s="17" t="s">
        <v>150</v>
      </c>
      <c r="G9" s="19" t="s">
        <v>151</v>
      </c>
      <c r="H9" s="19" t="s">
        <v>152</v>
      </c>
      <c r="I9" s="19" t="s">
        <v>153</v>
      </c>
      <c r="J9" s="18"/>
      <c r="K9" s="31" t="str">
        <f>"140,0"</f>
        <v>140,0</v>
      </c>
      <c r="L9" s="32" t="str">
        <f>"116,1300"</f>
        <v>116,1300</v>
      </c>
      <c r="M9" s="17" t="s">
        <v>154</v>
      </c>
    </row>
    <row r="11" ht="15.75" spans="1:10">
      <c r="A11" s="43" t="s">
        <v>12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3">
      <c r="A12" s="17" t="s">
        <v>155</v>
      </c>
      <c r="B12" s="17" t="s">
        <v>156</v>
      </c>
      <c r="C12" s="17" t="s">
        <v>157</v>
      </c>
      <c r="D12" s="17" t="str">
        <f>"0,7594"</f>
        <v>0,7594</v>
      </c>
      <c r="E12" s="17" t="s">
        <v>149</v>
      </c>
      <c r="F12" s="17" t="s">
        <v>150</v>
      </c>
      <c r="G12" s="19" t="s">
        <v>158</v>
      </c>
      <c r="H12" s="19" t="s">
        <v>159</v>
      </c>
      <c r="I12" s="19" t="s">
        <v>160</v>
      </c>
      <c r="J12" s="18"/>
      <c r="K12" s="31" t="str">
        <f>"145,0"</f>
        <v>145,0</v>
      </c>
      <c r="L12" s="32" t="str">
        <f>"110,1130"</f>
        <v>110,1130</v>
      </c>
      <c r="M12" s="17" t="s">
        <v>22</v>
      </c>
    </row>
    <row r="14" ht="15.75" spans="1:10">
      <c r="A14" s="43" t="s">
        <v>98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3">
      <c r="A15" s="33" t="s">
        <v>161</v>
      </c>
      <c r="B15" s="33" t="s">
        <v>162</v>
      </c>
      <c r="C15" s="33" t="s">
        <v>163</v>
      </c>
      <c r="D15" s="33" t="str">
        <f>"0,7212"</f>
        <v>0,7212</v>
      </c>
      <c r="E15" s="33" t="s">
        <v>16</v>
      </c>
      <c r="F15" s="33" t="s">
        <v>116</v>
      </c>
      <c r="G15" s="34" t="s">
        <v>133</v>
      </c>
      <c r="H15" s="34" t="s">
        <v>164</v>
      </c>
      <c r="I15" s="35" t="s">
        <v>165</v>
      </c>
      <c r="J15" s="35"/>
      <c r="K15" s="39" t="str">
        <f>"170,0"</f>
        <v>170,0</v>
      </c>
      <c r="L15" s="40" t="str">
        <f>"122,6125"</f>
        <v>122,6125</v>
      </c>
      <c r="M15" s="33" t="s">
        <v>22</v>
      </c>
    </row>
    <row r="16" spans="1:13">
      <c r="A16" s="36" t="s">
        <v>166</v>
      </c>
      <c r="B16" s="36" t="s">
        <v>167</v>
      </c>
      <c r="C16" s="36" t="s">
        <v>168</v>
      </c>
      <c r="D16" s="36" t="str">
        <f>"0,6975"</f>
        <v>0,6975</v>
      </c>
      <c r="E16" s="36" t="s">
        <v>16</v>
      </c>
      <c r="F16" s="36" t="s">
        <v>116</v>
      </c>
      <c r="G16" s="37" t="s">
        <v>165</v>
      </c>
      <c r="H16" s="37" t="s">
        <v>117</v>
      </c>
      <c r="I16" s="38" t="s">
        <v>169</v>
      </c>
      <c r="J16" s="38"/>
      <c r="K16" s="41" t="str">
        <f>"180,0"</f>
        <v>180,0</v>
      </c>
      <c r="L16" s="42" t="str">
        <f>"125,5590"</f>
        <v>125,5590</v>
      </c>
      <c r="M16" s="36" t="s">
        <v>145</v>
      </c>
    </row>
    <row r="18" ht="15.75" spans="1:10">
      <c r="A18" s="43" t="s">
        <v>111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3">
      <c r="A19" s="17" t="s">
        <v>170</v>
      </c>
      <c r="B19" s="17" t="s">
        <v>171</v>
      </c>
      <c r="C19" s="17" t="s">
        <v>172</v>
      </c>
      <c r="D19" s="17" t="str">
        <f>"0,6557"</f>
        <v>0,6557</v>
      </c>
      <c r="E19" s="17" t="s">
        <v>149</v>
      </c>
      <c r="F19" s="17" t="s">
        <v>150</v>
      </c>
      <c r="G19" s="19" t="s">
        <v>173</v>
      </c>
      <c r="H19" s="19" t="s">
        <v>174</v>
      </c>
      <c r="I19" s="18" t="s">
        <v>175</v>
      </c>
      <c r="J19" s="18"/>
      <c r="K19" s="31" t="str">
        <f>"210,0"</f>
        <v>210,0</v>
      </c>
      <c r="L19" s="32" t="str">
        <f>"168,6660"</f>
        <v>168,6660</v>
      </c>
      <c r="M19" s="17" t="s">
        <v>22</v>
      </c>
    </row>
    <row r="21" ht="15.75" spans="5:5">
      <c r="E21" s="20" t="s">
        <v>23</v>
      </c>
    </row>
    <row r="22" ht="15.75" spans="5:5">
      <c r="E22" s="20" t="s">
        <v>24</v>
      </c>
    </row>
    <row r="23" ht="15.75" spans="5:5">
      <c r="E23" s="20" t="s">
        <v>25</v>
      </c>
    </row>
    <row r="24" ht="15.75" spans="5:5">
      <c r="E24" s="20" t="s">
        <v>26</v>
      </c>
    </row>
    <row r="25" ht="15.75" spans="5:5">
      <c r="E25" s="20" t="s">
        <v>26</v>
      </c>
    </row>
    <row r="26" ht="15.75" spans="5:5">
      <c r="E26" s="20" t="s">
        <v>27</v>
      </c>
    </row>
    <row r="27" ht="15.75" spans="5:5">
      <c r="E27" s="20"/>
    </row>
    <row r="29" ht="18.75" spans="1:2">
      <c r="A29" s="21" t="s">
        <v>28</v>
      </c>
      <c r="B29" s="21"/>
    </row>
    <row r="30" ht="15.75" spans="1:2">
      <c r="A30" s="22" t="s">
        <v>78</v>
      </c>
      <c r="B30" s="22"/>
    </row>
    <row r="31" ht="15" spans="1:2">
      <c r="A31" s="23"/>
      <c r="B31" s="24" t="s">
        <v>57</v>
      </c>
    </row>
    <row r="32" ht="14.25" spans="1:5">
      <c r="A32" s="25" t="s">
        <v>31</v>
      </c>
      <c r="B32" s="25" t="s">
        <v>32</v>
      </c>
      <c r="C32" s="25" t="s">
        <v>33</v>
      </c>
      <c r="D32" s="25" t="s">
        <v>34</v>
      </c>
      <c r="E32" s="25" t="s">
        <v>35</v>
      </c>
    </row>
    <row r="33" spans="1:5">
      <c r="A33" s="26" t="s">
        <v>176</v>
      </c>
      <c r="B33" s="3" t="s">
        <v>57</v>
      </c>
      <c r="C33" s="3" t="s">
        <v>136</v>
      </c>
      <c r="D33" s="3" t="s">
        <v>143</v>
      </c>
      <c r="E33" s="5" t="s">
        <v>177</v>
      </c>
    </row>
    <row r="34" spans="1:5">
      <c r="A34" s="26" t="s">
        <v>178</v>
      </c>
      <c r="B34" s="3" t="s">
        <v>57</v>
      </c>
      <c r="C34" s="3" t="s">
        <v>123</v>
      </c>
      <c r="D34" s="3" t="s">
        <v>153</v>
      </c>
      <c r="E34" s="5" t="s">
        <v>179</v>
      </c>
    </row>
    <row r="35" spans="1:5">
      <c r="A35" s="26" t="s">
        <v>180</v>
      </c>
      <c r="B35" s="3" t="s">
        <v>57</v>
      </c>
      <c r="C35" s="3" t="s">
        <v>37</v>
      </c>
      <c r="D35" s="3" t="s">
        <v>160</v>
      </c>
      <c r="E35" s="5" t="s">
        <v>181</v>
      </c>
    </row>
    <row r="38" ht="15.75" spans="1:2">
      <c r="A38" s="22" t="s">
        <v>29</v>
      </c>
      <c r="B38" s="22"/>
    </row>
    <row r="39" ht="15" spans="1:2">
      <c r="A39" s="23"/>
      <c r="B39" s="24" t="s">
        <v>182</v>
      </c>
    </row>
    <row r="40" ht="14.25" spans="1:5">
      <c r="A40" s="25" t="s">
        <v>31</v>
      </c>
      <c r="B40" s="25" t="s">
        <v>32</v>
      </c>
      <c r="C40" s="25" t="s">
        <v>33</v>
      </c>
      <c r="D40" s="25" t="s">
        <v>34</v>
      </c>
      <c r="E40" s="25" t="s">
        <v>35</v>
      </c>
    </row>
    <row r="41" spans="1:5">
      <c r="A41" s="26" t="s">
        <v>183</v>
      </c>
      <c r="B41" s="3" t="s">
        <v>184</v>
      </c>
      <c r="C41" s="3" t="s">
        <v>107</v>
      </c>
      <c r="D41" s="3" t="s">
        <v>164</v>
      </c>
      <c r="E41" s="5" t="s">
        <v>185</v>
      </c>
    </row>
    <row r="43" ht="15" spans="1:2">
      <c r="A43" s="23"/>
      <c r="B43" s="24" t="s">
        <v>57</v>
      </c>
    </row>
    <row r="44" ht="14.25" spans="1:5">
      <c r="A44" s="25" t="s">
        <v>31</v>
      </c>
      <c r="B44" s="25" t="s">
        <v>32</v>
      </c>
      <c r="C44" s="25" t="s">
        <v>33</v>
      </c>
      <c r="D44" s="25" t="s">
        <v>34</v>
      </c>
      <c r="E44" s="25" t="s">
        <v>35</v>
      </c>
    </row>
    <row r="45" spans="1:5">
      <c r="A45" s="26" t="s">
        <v>186</v>
      </c>
      <c r="B45" s="3" t="s">
        <v>57</v>
      </c>
      <c r="C45" s="3" t="s">
        <v>107</v>
      </c>
      <c r="D45" s="3" t="s">
        <v>117</v>
      </c>
      <c r="E45" s="5" t="s">
        <v>187</v>
      </c>
    </row>
    <row r="47" ht="15" spans="1:2">
      <c r="A47" s="23"/>
      <c r="B47" s="24" t="s">
        <v>104</v>
      </c>
    </row>
    <row r="48" ht="14.25" spans="1:5">
      <c r="A48" s="25" t="s">
        <v>31</v>
      </c>
      <c r="B48" s="25" t="s">
        <v>32</v>
      </c>
      <c r="C48" s="25" t="s">
        <v>33</v>
      </c>
      <c r="D48" s="25" t="s">
        <v>34</v>
      </c>
      <c r="E48" s="25" t="s">
        <v>35</v>
      </c>
    </row>
    <row r="49" spans="1:5">
      <c r="A49" s="26" t="s">
        <v>188</v>
      </c>
      <c r="B49" s="3" t="s">
        <v>189</v>
      </c>
      <c r="C49" s="3" t="s">
        <v>123</v>
      </c>
      <c r="D49" s="3" t="s">
        <v>174</v>
      </c>
      <c r="E49" s="5" t="s">
        <v>190</v>
      </c>
    </row>
  </sheetData>
  <mergeCells count="16">
    <mergeCell ref="G3:J3"/>
    <mergeCell ref="A5:J5"/>
    <mergeCell ref="A8:J8"/>
    <mergeCell ref="A11:J11"/>
    <mergeCell ref="A14:J14"/>
    <mergeCell ref="A18:J1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Excalibur</vt:lpstr>
      <vt:lpstr>Rus brick</vt:lpstr>
      <vt:lpstr>Rus Roullette</vt:lpstr>
      <vt:lpstr>AWPC НЖ 1_2 вес</vt:lpstr>
      <vt:lpstr>WPC стр. под.на биц</vt:lpstr>
      <vt:lpstr>AWPC стр. под.на биц</vt:lpstr>
      <vt:lpstr>AWPC мн.слой тяга</vt:lpstr>
      <vt:lpstr>AWPC 1 слой тяга</vt:lpstr>
      <vt:lpstr>AWPC б_э тяга</vt:lpstr>
      <vt:lpstr>WPC мн.слой тяга</vt:lpstr>
      <vt:lpstr>WPC 1 слой тяга</vt:lpstr>
      <vt:lpstr>WPC б_э тяга</vt:lpstr>
      <vt:lpstr>AWPC мн.слой жим</vt:lpstr>
      <vt:lpstr>AWPC 1 слой жим</vt:lpstr>
      <vt:lpstr>AWPC б_э жим</vt:lpstr>
      <vt:lpstr>AWPC мн.слой ПЛ</vt:lpstr>
      <vt:lpstr>AWPC 1 слой ПЛ</vt:lpstr>
      <vt:lpstr>AWPC Класс. ПЛ</vt:lpstr>
      <vt:lpstr>AWPC б_э ПЛ</vt:lpstr>
      <vt:lpstr>WPC 1 слой жим</vt:lpstr>
      <vt:lpstr>WPC б_э жим</vt:lpstr>
      <vt:lpstr>WPC класс. ПЛ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Oleg</cp:lastModifiedBy>
  <dcterms:created xsi:type="dcterms:W3CDTF">2002-06-16T13:36:00Z</dcterms:created>
  <cp:lastPrinted>2015-07-16T19:10:00Z</cp:lastPrinted>
  <dcterms:modified xsi:type="dcterms:W3CDTF">2022-03-20T03:08:46Z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D6998A23B8B34E5EA177B2C9BD4E00FB</vt:lpwstr>
  </property>
  <property fmtid="{D5CDD505-2E9C-101B-9397-08002B2CF9AE}" pid="3" name="KSOProductBuildVer">
    <vt:lpwstr>1049-11.2.0.11029</vt:lpwstr>
  </property>
</Properties>
</file>